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creggov.sharepoint.com/sites/Regulacin-CombustiblesLquidos-CL-T-Metodologa/Documentos compartidos/CL-T-Metodología/Exp_EXP_20150002_CL_T/INTERNOS/DOC_4_Definitiva/Modelos_valoracion/para resolución Definitiva/Protegidos/"/>
    </mc:Choice>
  </mc:AlternateContent>
  <xr:revisionPtr revIDLastSave="23" documentId="13_ncr:1_{4CCF9A24-F088-4AAF-AC14-74DF64A4C8CD}" xr6:coauthVersionLast="47" xr6:coauthVersionMax="47" xr10:uidLastSave="{A95C9A8F-2342-4D31-A135-D90675C8CCEB}"/>
  <workbookProtection workbookAlgorithmName="SHA-512" workbookHashValue="0WfLH2PXOqtzGCC2zA3nWhMjkeuB85Lp9tZN+ny7LnYrAU+cHN5G1xSn6M1NMaZgS3zZvvXE4qM6B6pjTxBFWA==" workbookSaltValue="D/12pritsnr+WjqojD/3FA==" workbookSpinCount="100000" lockStructure="1"/>
  <bookViews>
    <workbookView xWindow="-120" yWindow="-120" windowWidth="29040" windowHeight="15840" tabRatio="676" xr2:uid="{00000000-000D-0000-FFFF-FFFF00000000}"/>
  </bookViews>
  <sheets>
    <sheet name="PRESENTACIÓN" sheetId="1" r:id="rId1"/>
    <sheet name="Inicio" sheetId="3" r:id="rId2"/>
    <sheet name="Indices" sheetId="42" r:id="rId3"/>
    <sheet name="Costo estación" sheetId="2" r:id="rId4"/>
    <sheet name="FACTORES" sheetId="5" r:id="rId5"/>
    <sheet name="Modelo Caudal - PIPING" sheetId="6" r:id="rId6"/>
    <sheet name="Modelo Potencia de bombeo" sheetId="7" r:id="rId7"/>
    <sheet name="BD  Materiales y equipos" sheetId="8" r:id="rId8"/>
    <sheet name="COSTA CARIBE" sheetId="9" r:id="rId9"/>
    <sheet name="MAGDALENA MEDIO" sheetId="10" r:id="rId10"/>
    <sheet name="CENTRO OCCIDENTE" sheetId="11" r:id="rId11"/>
    <sheet name="SUR" sheetId="12" r:id="rId12"/>
    <sheet name="LLANOS - NARIÑO" sheetId="13" r:id="rId13"/>
    <sheet name="1.2.1 MULTIPLE DE TANQUES" sheetId="14" state="hidden" r:id="rId14"/>
    <sheet name="1.3.1 PATIN DE ALIVIO" sheetId="15" state="hidden" r:id="rId15"/>
    <sheet name="1.3.3 Sistema de Tea" sheetId="16" state="hidden" r:id="rId16"/>
    <sheet name="1.4.1 Control de presión" sheetId="17" state="hidden" r:id="rId17"/>
    <sheet name="1.5.1 FILTRACIÓN" sheetId="18" state="hidden" r:id="rId18"/>
    <sheet name="1.6.1 PATIN MEDICIÓN" sheetId="19" state="hidden" r:id="rId19"/>
    <sheet name="1.6.2 MEDICION DE REFERENCIA" sheetId="20" state="hidden" r:id="rId20"/>
    <sheet name="1.7 SISTEMA DE MARCACIÓN" sheetId="21" state="hidden" r:id="rId21"/>
    <sheet name="1.8.1 UNIDAD BOOSTER" sheetId="22" state="hidden" r:id="rId22"/>
    <sheet name="1.9.1 UNIDAD PRINCIPAL" sheetId="23" state="hidden" r:id="rId23"/>
    <sheet name="1.10.1 LINEA DE DESPACHO" sheetId="24" state="hidden" r:id="rId24"/>
    <sheet name="2.1.1 SISTEMA SUMIDERO" sheetId="25" state="hidden" r:id="rId25"/>
    <sheet name="2.2.1 SIST. AGUA-ACEITE" sheetId="26" state="hidden" r:id="rId26"/>
    <sheet name="2.3.2 UNIDADES CONTRA INCENDIOS" sheetId="27" state="hidden" r:id="rId27"/>
    <sheet name="2.3.(3-6) DETECCION Y ALARMA" sheetId="28" state="hidden" r:id="rId28"/>
    <sheet name="2.3.(7-8) Extinción gas y espum" sheetId="29" state="hidden" r:id="rId29"/>
    <sheet name="2.4 SIST.COMUNICACIONES" sheetId="30" state="hidden" r:id="rId30"/>
    <sheet name="2.5 SISTEMA ELECTRICO" sheetId="31" state="hidden" r:id="rId31"/>
    <sheet name="2.6 SISTEMA DE CONTROL" sheetId="32" state="hidden" r:id="rId32"/>
    <sheet name="2.7 SIST. SEG. &amp; VIGILANCIA" sheetId="33" state="hidden" r:id="rId33"/>
    <sheet name="2.8 SIST. MANEJO AGUAS" sheetId="34" state="hidden" r:id="rId34"/>
    <sheet name="2.9 SERVICIOS INDUSTRIALES" sheetId="35" state="hidden" r:id="rId35"/>
    <sheet name="3.1 EDIFICACIONES" sheetId="36" state="hidden" r:id="rId36"/>
    <sheet name="3.2 VIAS" sheetId="37" state="hidden" r:id="rId37"/>
    <sheet name="3.3.1 PAISAJ. Y URBANISMO" sheetId="38" state="hidden" r:id="rId38"/>
    <sheet name="3.4 OBRAS PROTEC. GEOTEC." sheetId="39" state="hidden" r:id="rId39"/>
    <sheet name="3.5 Desmantelaminento Unidades" sheetId="40" state="hidden" r:id="rId40"/>
    <sheet name="OBRAS CIVILES" sheetId="41" state="hidden" r:id="rId41"/>
  </sheets>
  <definedNames>
    <definedName name="_xlnm._FilterDatabase" localSheetId="17" hidden="1">'1.5.1 FILTRACIÓN'!$A$1:$I$27</definedName>
    <definedName name="_xlnm._FilterDatabase" localSheetId="27" hidden="1">'2.3.(3-6) DETECCION Y ALARMA'!$A$1:$K$28</definedName>
    <definedName name="_xlnm._FilterDatabase" localSheetId="7" hidden="1">'BD  Materiales y equipos'!$A$2:$N$190</definedName>
    <definedName name="_FilterDatabase_0" localSheetId="7">'BD  Materiales y equipos'!$B$2:$E$68</definedName>
    <definedName name="_FilterDatabase_0_0" localSheetId="7">'BD  Materiales y equipos'!$A$2:$E$181</definedName>
    <definedName name="acero">FACTORES!$D$21</definedName>
    <definedName name="acero_base">FACTORES!$D$10</definedName>
    <definedName name="fac_arancel">FACTORES!$D$36</definedName>
    <definedName name="fac_des_arancel_materiales">FACTORES!$D$40</definedName>
    <definedName name="fac_des_arancel_rotativos">FACTORES!$D$39</definedName>
    <definedName name="fac_iva">FACTORES!$D$19</definedName>
    <definedName name="fac_logistica_importacion_especial">FACTORES!$D$42</definedName>
    <definedName name="fac_logistica_importacion_general">FACTORES!$D$41</definedName>
    <definedName name="fac_mano_obra">FACTORES!$D$35</definedName>
    <definedName name="fac_piping">FACTORES!$D$8</definedName>
    <definedName name="fac_regionalizacion">FACTORES!$D$16</definedName>
    <definedName name="fac_sop_meta">FACTORES!$D$7</definedName>
    <definedName name="fac_transporte">FACTORES!$D$17</definedName>
    <definedName name="fecha">_xlfn._xlws.SORT(Tabla3[Fecha],1,-1)</definedName>
    <definedName name="ipc">FACTORES!$D$11</definedName>
    <definedName name="ipc_base">FACTORES!$D$22</definedName>
    <definedName name="Potencia">Inicio!$Q$15</definedName>
    <definedName name="ppi_dane_obra_civil_esta">FACTORES!$D$37</definedName>
    <definedName name="ppi_dane_obra_civil_esta_base">FACTORES!$D$38</definedName>
    <definedName name="ppi_usa_bom_ind">FACTORES!$D$12</definedName>
    <definedName name="ppi_usa_bom_ind_base">FACTORES!$D$23</definedName>
    <definedName name="ppi_usa_filt">FACTORES!$D$13</definedName>
    <definedName name="ppi_usa_filt_base">FACTORES!$D$24</definedName>
    <definedName name="ppi_usa_gen_pot">FACTORES!$D$31</definedName>
    <definedName name="ppi_usa_gen_pot_base">FACTORES!$D$27</definedName>
    <definedName name="ppi_usa_inst_control">FACTORES!$D$33</definedName>
    <definedName name="ppi_usa_inst_control_base">FACTORES!$D$29</definedName>
    <definedName name="ppi_usa_inst_tablero">FACTORES!$D$34</definedName>
    <definedName name="ppi_usa_inst_tableros_base">FACTORES!$D$30</definedName>
    <definedName name="ppi_usa_medidores">FACTORES!$D$14</definedName>
    <definedName name="ppi_usa_medidores_base">FACTORES!$D$25</definedName>
    <definedName name="ppi_usa_trans_pot">FACTORES!$D$32</definedName>
    <definedName name="ppi_usa_trans_pot_base">FACTORES!$D$28</definedName>
    <definedName name="Region">FACTORES!$F$4:$F$8</definedName>
    <definedName name="tip_estacion">FACTORES!$D$26</definedName>
    <definedName name="TipoEstacion">Inicio!$Q$14</definedName>
    <definedName name="total_bombas_booster">'Modelo Potencia de bombeo'!$F$6</definedName>
    <definedName name="total_bombas_principales">'Modelo Potencia de bombeo'!$F$7</definedName>
    <definedName name="total_bombas_repoten">'Modelo Potencia de bombeo'!#REF!</definedName>
    <definedName name="TotalComisionamiento">Inicio!$P$38</definedName>
    <definedName name="TotalConstruccionMontaje">Inicio!$Q$33</definedName>
    <definedName name="TotalMaterialesEquipos">Inicio!$Q$29</definedName>
    <definedName name="trm">FACTORES!$D$20</definedName>
    <definedName name="trm_año">Indices!$C$19</definedName>
    <definedName name="trm_base">FACTORES!$D$9</definedName>
    <definedName name="trm_mes">Indices!$C$19</definedName>
    <definedName name="trm_ref">Indices!$I$161</definedName>
    <definedName name="usd_kg_sop_meta">FACTORES!$D$18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28" l="1"/>
  <c r="N26" i="28"/>
  <c r="N28" i="28"/>
  <c r="N27" i="28"/>
  <c r="N24" i="28"/>
  <c r="N23" i="28"/>
  <c r="O28" i="28"/>
  <c r="O27" i="28"/>
  <c r="O26" i="28"/>
  <c r="O25" i="28"/>
  <c r="O24" i="28"/>
  <c r="O23" i="28"/>
  <c r="O22" i="28"/>
  <c r="O21" i="28"/>
  <c r="N22" i="28"/>
  <c r="N21" i="28"/>
  <c r="O4" i="27"/>
  <c r="N4" i="27"/>
  <c r="O3" i="27"/>
  <c r="N3" i="27"/>
  <c r="O2" i="27"/>
  <c r="N2" i="27"/>
  <c r="N24" i="26"/>
  <c r="O24" i="26"/>
  <c r="O23" i="26"/>
  <c r="N23" i="26"/>
  <c r="O22" i="26"/>
  <c r="N22" i="26"/>
  <c r="O21" i="26"/>
  <c r="N21" i="26"/>
  <c r="O20" i="26"/>
  <c r="N20" i="26"/>
  <c r="O19" i="26"/>
  <c r="N19" i="26"/>
  <c r="O18" i="26"/>
  <c r="N18" i="26"/>
  <c r="O17" i="26"/>
  <c r="N17" i="26"/>
  <c r="O16" i="26"/>
  <c r="N16" i="26"/>
  <c r="O15" i="26"/>
  <c r="N15" i="26"/>
  <c r="O14" i="26"/>
  <c r="N14" i="26"/>
  <c r="O13" i="26"/>
  <c r="N13" i="26"/>
  <c r="O12" i="26"/>
  <c r="N12" i="26"/>
  <c r="O11" i="26"/>
  <c r="N11" i="26"/>
  <c r="O10" i="26"/>
  <c r="N10" i="26"/>
  <c r="O9" i="26"/>
  <c r="N9" i="26"/>
  <c r="O8" i="26"/>
  <c r="N8" i="26"/>
  <c r="O7" i="26"/>
  <c r="N7" i="26"/>
  <c r="O6" i="26"/>
  <c r="N6" i="26"/>
  <c r="O5" i="26"/>
  <c r="N5" i="26"/>
  <c r="O4" i="26"/>
  <c r="N4" i="26"/>
  <c r="O3" i="26"/>
  <c r="N3" i="26"/>
  <c r="O2" i="26"/>
  <c r="N2" i="26"/>
  <c r="N24" i="25"/>
  <c r="O24" i="25"/>
  <c r="O23" i="25"/>
  <c r="N23" i="25"/>
  <c r="O22" i="25"/>
  <c r="N22" i="25"/>
  <c r="O21" i="25"/>
  <c r="N21" i="25"/>
  <c r="O20" i="25"/>
  <c r="N20" i="25"/>
  <c r="O19" i="25"/>
  <c r="N19" i="25"/>
  <c r="O18" i="25"/>
  <c r="N18" i="25"/>
  <c r="O17" i="25"/>
  <c r="N17" i="25"/>
  <c r="O16" i="25"/>
  <c r="N16" i="25"/>
  <c r="O15" i="25"/>
  <c r="N15" i="25"/>
  <c r="O14" i="25"/>
  <c r="N14" i="25"/>
  <c r="O13" i="25"/>
  <c r="N13" i="25"/>
  <c r="O12" i="25"/>
  <c r="N12" i="25"/>
  <c r="O11" i="25"/>
  <c r="N11" i="25"/>
  <c r="O10" i="25"/>
  <c r="N10" i="25"/>
  <c r="O9" i="25"/>
  <c r="N9" i="25"/>
  <c r="O8" i="25"/>
  <c r="N8" i="25"/>
  <c r="O7" i="25"/>
  <c r="N7" i="25"/>
  <c r="O6" i="25"/>
  <c r="N6" i="25"/>
  <c r="O5" i="25"/>
  <c r="N5" i="25"/>
  <c r="O4" i="25"/>
  <c r="N4" i="25"/>
  <c r="O3" i="25"/>
  <c r="N3" i="25"/>
  <c r="O2" i="25"/>
  <c r="N2" i="25"/>
  <c r="O57" i="24"/>
  <c r="N57" i="24"/>
  <c r="O56" i="24"/>
  <c r="N56" i="24"/>
  <c r="O55" i="24"/>
  <c r="N55" i="24"/>
  <c r="O54" i="24"/>
  <c r="N54" i="24"/>
  <c r="O53" i="24"/>
  <c r="N53" i="24"/>
  <c r="O52" i="24"/>
  <c r="N52" i="24"/>
  <c r="O51" i="24"/>
  <c r="N51" i="24"/>
  <c r="O50" i="24"/>
  <c r="N50" i="24"/>
  <c r="O49" i="24"/>
  <c r="N49" i="24"/>
  <c r="O48" i="24"/>
  <c r="N48" i="24"/>
  <c r="O47" i="24"/>
  <c r="N47" i="24"/>
  <c r="O46" i="24"/>
  <c r="N46" i="24"/>
  <c r="O45" i="24"/>
  <c r="N45" i="24"/>
  <c r="O44" i="24"/>
  <c r="N44" i="24"/>
  <c r="O43" i="24"/>
  <c r="N43" i="24"/>
  <c r="O42" i="24"/>
  <c r="N42" i="24"/>
  <c r="O41" i="24"/>
  <c r="N41" i="24"/>
  <c r="O40" i="24"/>
  <c r="N40" i="24"/>
  <c r="O39" i="24"/>
  <c r="N39" i="24"/>
  <c r="O38" i="24"/>
  <c r="N38" i="24"/>
  <c r="O37" i="24"/>
  <c r="N37" i="24"/>
  <c r="O36" i="24"/>
  <c r="N36" i="24"/>
  <c r="O35" i="24"/>
  <c r="N35" i="24"/>
  <c r="O34" i="24"/>
  <c r="N34" i="24"/>
  <c r="O33" i="24"/>
  <c r="N33" i="24"/>
  <c r="O32" i="24"/>
  <c r="N32" i="24"/>
  <c r="O31" i="24"/>
  <c r="N31" i="24"/>
  <c r="O30" i="24"/>
  <c r="N30" i="24"/>
  <c r="O29" i="24"/>
  <c r="N29" i="24"/>
  <c r="O28" i="24"/>
  <c r="N28" i="24"/>
  <c r="O27" i="24"/>
  <c r="N27" i="24"/>
  <c r="O26" i="24"/>
  <c r="N26" i="24"/>
  <c r="O25" i="24"/>
  <c r="N25" i="24"/>
  <c r="O24" i="24"/>
  <c r="N24" i="24"/>
  <c r="O23" i="24"/>
  <c r="N23" i="24"/>
  <c r="O22" i="24"/>
  <c r="N22" i="24"/>
  <c r="O21" i="24"/>
  <c r="N21" i="24"/>
  <c r="O20" i="24"/>
  <c r="N20" i="24"/>
  <c r="O19" i="24"/>
  <c r="N19" i="24"/>
  <c r="O18" i="24"/>
  <c r="N18" i="24"/>
  <c r="O17" i="24"/>
  <c r="N17" i="24"/>
  <c r="O16" i="24"/>
  <c r="N16" i="24"/>
  <c r="O15" i="24"/>
  <c r="N15" i="24"/>
  <c r="O14" i="24"/>
  <c r="N14" i="24"/>
  <c r="O13" i="24"/>
  <c r="N13" i="24"/>
  <c r="O12" i="24"/>
  <c r="N12" i="24"/>
  <c r="O11" i="24"/>
  <c r="N11" i="24"/>
  <c r="O10" i="24"/>
  <c r="N10" i="24"/>
  <c r="O9" i="24"/>
  <c r="N9" i="24"/>
  <c r="O8" i="24"/>
  <c r="N8" i="24"/>
  <c r="O7" i="24"/>
  <c r="N7" i="24"/>
  <c r="O6" i="24"/>
  <c r="N6" i="24"/>
  <c r="O5" i="24"/>
  <c r="N5" i="24"/>
  <c r="O4" i="24"/>
  <c r="N4" i="24"/>
  <c r="O3" i="24"/>
  <c r="N3" i="24"/>
  <c r="O2" i="24"/>
  <c r="N2" i="24"/>
  <c r="O45" i="23"/>
  <c r="O44" i="23"/>
  <c r="N44" i="23"/>
  <c r="O43" i="23"/>
  <c r="N43" i="23"/>
  <c r="O42" i="23"/>
  <c r="N42" i="23"/>
  <c r="O41" i="23"/>
  <c r="N41" i="23"/>
  <c r="O40" i="23"/>
  <c r="N40" i="23"/>
  <c r="O39" i="23"/>
  <c r="N39" i="23"/>
  <c r="O38" i="23"/>
  <c r="N38" i="23"/>
  <c r="O37" i="23"/>
  <c r="N37" i="23"/>
  <c r="O36" i="23"/>
  <c r="N36" i="23"/>
  <c r="O35" i="23"/>
  <c r="N35" i="23"/>
  <c r="O34" i="23"/>
  <c r="N34" i="23"/>
  <c r="O33" i="23"/>
  <c r="N33" i="23"/>
  <c r="O32" i="23"/>
  <c r="N32" i="23"/>
  <c r="O31" i="23"/>
  <c r="N31" i="23"/>
  <c r="O30" i="23"/>
  <c r="N30" i="23"/>
  <c r="O29" i="23"/>
  <c r="N29" i="23"/>
  <c r="O28" i="23"/>
  <c r="N28" i="23"/>
  <c r="O27" i="23"/>
  <c r="N27" i="23"/>
  <c r="O26" i="23"/>
  <c r="N26" i="23"/>
  <c r="O25" i="23"/>
  <c r="N25" i="23"/>
  <c r="O24" i="23"/>
  <c r="N24" i="23"/>
  <c r="O23" i="23"/>
  <c r="N23" i="23"/>
  <c r="O22" i="23"/>
  <c r="N22" i="23"/>
  <c r="O21" i="23"/>
  <c r="N21" i="23"/>
  <c r="O20" i="23"/>
  <c r="N20" i="23"/>
  <c r="O19" i="23"/>
  <c r="N19" i="23"/>
  <c r="O18" i="23"/>
  <c r="N18" i="23"/>
  <c r="O17" i="23"/>
  <c r="N17" i="23"/>
  <c r="O16" i="23"/>
  <c r="N16" i="23"/>
  <c r="O15" i="23"/>
  <c r="N15" i="23"/>
  <c r="O14" i="23"/>
  <c r="N14" i="23"/>
  <c r="O13" i="23"/>
  <c r="N13" i="23"/>
  <c r="O12" i="23"/>
  <c r="N12" i="23"/>
  <c r="O11" i="23"/>
  <c r="N11" i="23"/>
  <c r="O10" i="23"/>
  <c r="N10" i="23"/>
  <c r="O9" i="23"/>
  <c r="N9" i="23"/>
  <c r="O8" i="23"/>
  <c r="N8" i="23"/>
  <c r="O7" i="23"/>
  <c r="N7" i="23"/>
  <c r="O6" i="23"/>
  <c r="N6" i="23"/>
  <c r="O5" i="23"/>
  <c r="N5" i="23"/>
  <c r="O4" i="23"/>
  <c r="N4" i="23"/>
  <c r="O3" i="23"/>
  <c r="N3" i="23"/>
  <c r="O2" i="23"/>
  <c r="N2" i="23"/>
  <c r="O45" i="22"/>
  <c r="O44" i="22"/>
  <c r="N44" i="22"/>
  <c r="O43" i="22"/>
  <c r="N43" i="22"/>
  <c r="O42" i="22"/>
  <c r="N42" i="22"/>
  <c r="O41" i="22"/>
  <c r="N41" i="22"/>
  <c r="O40" i="22"/>
  <c r="N40" i="22"/>
  <c r="O39" i="22"/>
  <c r="N39" i="22"/>
  <c r="O38" i="22"/>
  <c r="N38" i="22"/>
  <c r="O37" i="22"/>
  <c r="N37" i="22"/>
  <c r="O36" i="22"/>
  <c r="N36" i="22"/>
  <c r="O35" i="22"/>
  <c r="N35" i="22"/>
  <c r="O34" i="22"/>
  <c r="N34" i="22"/>
  <c r="O33" i="22"/>
  <c r="N33" i="22"/>
  <c r="O32" i="22"/>
  <c r="N32" i="22"/>
  <c r="O31" i="22"/>
  <c r="N31" i="22"/>
  <c r="O30" i="22"/>
  <c r="N30" i="22"/>
  <c r="O29" i="22"/>
  <c r="N29" i="22"/>
  <c r="O28" i="22"/>
  <c r="N28" i="22"/>
  <c r="O27" i="22"/>
  <c r="N27" i="22"/>
  <c r="O26" i="22"/>
  <c r="N26" i="22"/>
  <c r="O25" i="22"/>
  <c r="N25" i="22"/>
  <c r="O24" i="22"/>
  <c r="N24" i="22"/>
  <c r="O23" i="22"/>
  <c r="N23" i="22"/>
  <c r="O22" i="22"/>
  <c r="N22" i="22"/>
  <c r="O21" i="22"/>
  <c r="N21" i="22"/>
  <c r="O20" i="22"/>
  <c r="N20" i="22"/>
  <c r="O19" i="22"/>
  <c r="N19" i="22"/>
  <c r="O18" i="22"/>
  <c r="N18" i="22"/>
  <c r="O17" i="22"/>
  <c r="N17" i="22"/>
  <c r="O16" i="22"/>
  <c r="N16" i="22"/>
  <c r="O15" i="22"/>
  <c r="N15" i="22"/>
  <c r="O14" i="22"/>
  <c r="N14" i="22"/>
  <c r="O13" i="22"/>
  <c r="N13" i="22"/>
  <c r="O12" i="22"/>
  <c r="N12" i="22"/>
  <c r="O11" i="22"/>
  <c r="N11" i="22"/>
  <c r="O10" i="22"/>
  <c r="N10" i="22"/>
  <c r="O9" i="22"/>
  <c r="N9" i="22"/>
  <c r="O8" i="22"/>
  <c r="N8" i="22"/>
  <c r="O7" i="22"/>
  <c r="N7" i="22"/>
  <c r="O6" i="22"/>
  <c r="N6" i="22"/>
  <c r="O5" i="22"/>
  <c r="N5" i="22"/>
  <c r="O4" i="22"/>
  <c r="N4" i="22"/>
  <c r="O3" i="22"/>
  <c r="N3" i="22"/>
  <c r="O2" i="22"/>
  <c r="N2" i="22"/>
  <c r="O10" i="20"/>
  <c r="N10" i="20"/>
  <c r="O9" i="20"/>
  <c r="N9" i="20"/>
  <c r="O8" i="20"/>
  <c r="N8" i="20"/>
  <c r="O7" i="20"/>
  <c r="N7" i="20"/>
  <c r="O6" i="20"/>
  <c r="N6" i="20"/>
  <c r="O5" i="20"/>
  <c r="N5" i="20"/>
  <c r="O4" i="20"/>
  <c r="N4" i="20"/>
  <c r="O3" i="20"/>
  <c r="N3" i="20"/>
  <c r="O2" i="20"/>
  <c r="N2" i="20"/>
  <c r="O12" i="20"/>
  <c r="N12" i="20"/>
  <c r="O11" i="20"/>
  <c r="N11" i="20"/>
  <c r="N23" i="19"/>
  <c r="O23" i="19"/>
  <c r="O22" i="19"/>
  <c r="O21" i="19"/>
  <c r="N21" i="19"/>
  <c r="O19" i="19"/>
  <c r="N19" i="19"/>
  <c r="O18" i="19"/>
  <c r="N18" i="19"/>
  <c r="O17" i="19"/>
  <c r="N17" i="19"/>
  <c r="O16" i="19"/>
  <c r="N16" i="19"/>
  <c r="O15" i="19"/>
  <c r="N15" i="19"/>
  <c r="O14" i="19"/>
  <c r="N14" i="19"/>
  <c r="O13" i="19"/>
  <c r="N13" i="19"/>
  <c r="O12" i="19"/>
  <c r="N12" i="19"/>
  <c r="O11" i="19"/>
  <c r="N11" i="19"/>
  <c r="O10" i="19"/>
  <c r="N10" i="19"/>
  <c r="O9" i="19"/>
  <c r="N9" i="19"/>
  <c r="O8" i="19"/>
  <c r="N8" i="19"/>
  <c r="O7" i="19"/>
  <c r="N7" i="19"/>
  <c r="O6" i="19"/>
  <c r="N6" i="19"/>
  <c r="O5" i="19"/>
  <c r="N5" i="19"/>
  <c r="O4" i="19"/>
  <c r="N4" i="19"/>
  <c r="O3" i="19"/>
  <c r="N3" i="19"/>
  <c r="N22" i="19"/>
  <c r="O2" i="19"/>
  <c r="N2" i="19"/>
  <c r="O26" i="18"/>
  <c r="N26" i="18"/>
  <c r="O25" i="18"/>
  <c r="N25" i="18"/>
  <c r="O24" i="18"/>
  <c r="N24" i="18"/>
  <c r="O23" i="18"/>
  <c r="N23" i="18"/>
  <c r="O22" i="18"/>
  <c r="N22" i="18"/>
  <c r="O21" i="18"/>
  <c r="N21" i="18"/>
  <c r="O20" i="18"/>
  <c r="N20" i="18"/>
  <c r="O19" i="18"/>
  <c r="N19" i="18"/>
  <c r="O18" i="18"/>
  <c r="N18" i="18"/>
  <c r="O17" i="18"/>
  <c r="N17" i="18"/>
  <c r="O16" i="18"/>
  <c r="N16" i="18"/>
  <c r="O15" i="18"/>
  <c r="N15" i="18"/>
  <c r="O14" i="18"/>
  <c r="N14" i="18"/>
  <c r="O13" i="18"/>
  <c r="N13" i="18"/>
  <c r="O12" i="18"/>
  <c r="N12" i="18"/>
  <c r="O11" i="18"/>
  <c r="N11" i="18"/>
  <c r="O10" i="18"/>
  <c r="N10" i="18"/>
  <c r="O9" i="18"/>
  <c r="N9" i="18"/>
  <c r="O8" i="18"/>
  <c r="N8" i="18"/>
  <c r="O7" i="18"/>
  <c r="N7" i="18"/>
  <c r="O6" i="18"/>
  <c r="N6" i="18"/>
  <c r="O5" i="18"/>
  <c r="N5" i="18"/>
  <c r="O4" i="18"/>
  <c r="N4" i="18"/>
  <c r="O3" i="18"/>
  <c r="N3" i="18"/>
  <c r="O2" i="18"/>
  <c r="N2" i="18"/>
  <c r="O16" i="17"/>
  <c r="N16" i="17"/>
  <c r="O15" i="17"/>
  <c r="N15" i="17"/>
  <c r="O14" i="17"/>
  <c r="N14" i="17"/>
  <c r="O13" i="17"/>
  <c r="N13" i="17"/>
  <c r="O12" i="17"/>
  <c r="N12" i="17"/>
  <c r="O11" i="17"/>
  <c r="N11" i="17"/>
  <c r="O10" i="17"/>
  <c r="N10" i="17"/>
  <c r="O9" i="17"/>
  <c r="N9" i="17"/>
  <c r="O8" i="17"/>
  <c r="N8" i="17"/>
  <c r="O7" i="17"/>
  <c r="N7" i="17"/>
  <c r="O6" i="17"/>
  <c r="N6" i="17"/>
  <c r="O5" i="17"/>
  <c r="N5" i="17"/>
  <c r="O4" i="17"/>
  <c r="N4" i="17"/>
  <c r="O3" i="17"/>
  <c r="N3" i="17"/>
  <c r="O2" i="17"/>
  <c r="N2" i="17"/>
  <c r="N57" i="15"/>
  <c r="O57" i="15"/>
  <c r="O56" i="15"/>
  <c r="N56" i="15"/>
  <c r="O55" i="15"/>
  <c r="N55" i="15"/>
  <c r="O54" i="15"/>
  <c r="N54" i="15"/>
  <c r="O53" i="15"/>
  <c r="N53" i="15"/>
  <c r="O52" i="15"/>
  <c r="N52" i="15"/>
  <c r="O51" i="15"/>
  <c r="N51" i="15"/>
  <c r="O50" i="15"/>
  <c r="N50" i="15"/>
  <c r="O49" i="15"/>
  <c r="N49" i="15"/>
  <c r="O48" i="15"/>
  <c r="N48" i="15"/>
  <c r="O47" i="15"/>
  <c r="N47" i="15"/>
  <c r="O46" i="15"/>
  <c r="N46" i="15"/>
  <c r="O45" i="15"/>
  <c r="N45" i="15"/>
  <c r="O44" i="15"/>
  <c r="N44" i="15"/>
  <c r="O43" i="15"/>
  <c r="N43" i="15"/>
  <c r="O42" i="15"/>
  <c r="N42" i="15"/>
  <c r="O41" i="15"/>
  <c r="N41" i="15"/>
  <c r="O40" i="15"/>
  <c r="N40" i="15"/>
  <c r="O39" i="15"/>
  <c r="N39" i="15"/>
  <c r="O38" i="15"/>
  <c r="N38" i="15"/>
  <c r="O37" i="15"/>
  <c r="N37" i="15"/>
  <c r="O36" i="15"/>
  <c r="N36" i="15"/>
  <c r="O35" i="15"/>
  <c r="N35" i="15"/>
  <c r="O34" i="15"/>
  <c r="N34" i="15"/>
  <c r="O33" i="15"/>
  <c r="N33" i="15"/>
  <c r="O32" i="15"/>
  <c r="N32" i="15"/>
  <c r="O31" i="15"/>
  <c r="N31" i="15"/>
  <c r="O30" i="15"/>
  <c r="N30" i="15"/>
  <c r="O29" i="15"/>
  <c r="N29" i="15"/>
  <c r="O28" i="15"/>
  <c r="N28" i="15"/>
  <c r="O27" i="15"/>
  <c r="N27" i="15"/>
  <c r="O26" i="15"/>
  <c r="N26" i="15"/>
  <c r="O25" i="15"/>
  <c r="N25" i="15"/>
  <c r="O24" i="15"/>
  <c r="N24" i="15"/>
  <c r="O23" i="15"/>
  <c r="N23" i="15"/>
  <c r="O22" i="15"/>
  <c r="N22" i="15"/>
  <c r="O21" i="15"/>
  <c r="N21" i="15"/>
  <c r="O20" i="15"/>
  <c r="N20" i="15"/>
  <c r="O19" i="15"/>
  <c r="N19" i="15"/>
  <c r="O18" i="15"/>
  <c r="N18" i="15"/>
  <c r="O17" i="15"/>
  <c r="N17" i="15"/>
  <c r="O16" i="15"/>
  <c r="N16" i="15"/>
  <c r="O15" i="15"/>
  <c r="N15" i="15"/>
  <c r="O14" i="15"/>
  <c r="N14" i="15"/>
  <c r="O13" i="15"/>
  <c r="N13" i="15"/>
  <c r="O12" i="15"/>
  <c r="N12" i="15"/>
  <c r="O11" i="15"/>
  <c r="N11" i="15"/>
  <c r="O10" i="15"/>
  <c r="N10" i="15"/>
  <c r="O9" i="15"/>
  <c r="N9" i="15"/>
  <c r="O8" i="15"/>
  <c r="N8" i="15"/>
  <c r="O7" i="15"/>
  <c r="N7" i="15"/>
  <c r="O6" i="15"/>
  <c r="N6" i="15"/>
  <c r="O5" i="15"/>
  <c r="N5" i="15"/>
  <c r="O4" i="15"/>
  <c r="N4" i="15"/>
  <c r="O3" i="15"/>
  <c r="N3" i="15"/>
  <c r="O2" i="15"/>
  <c r="N2" i="15"/>
  <c r="O28" i="14"/>
  <c r="N28" i="14"/>
  <c r="O27" i="14"/>
  <c r="N27" i="14"/>
  <c r="O26" i="14"/>
  <c r="N26" i="14"/>
  <c r="O25" i="14"/>
  <c r="N25" i="14"/>
  <c r="O24" i="14"/>
  <c r="N24" i="14"/>
  <c r="O23" i="14"/>
  <c r="N23" i="14"/>
  <c r="O22" i="14"/>
  <c r="N22" i="14"/>
  <c r="O21" i="14"/>
  <c r="N21" i="14"/>
  <c r="O20" i="14"/>
  <c r="N20" i="14"/>
  <c r="O19" i="14"/>
  <c r="N19" i="14"/>
  <c r="O18" i="14"/>
  <c r="N18" i="14"/>
  <c r="O17" i="14"/>
  <c r="N17" i="14"/>
  <c r="O16" i="14"/>
  <c r="N16" i="14"/>
  <c r="O15" i="14"/>
  <c r="N15" i="14"/>
  <c r="O14" i="14"/>
  <c r="N14" i="14"/>
  <c r="O13" i="14"/>
  <c r="N13" i="14"/>
  <c r="O12" i="14"/>
  <c r="N12" i="14"/>
  <c r="O11" i="14"/>
  <c r="N11" i="14"/>
  <c r="O10" i="14"/>
  <c r="N10" i="14"/>
  <c r="O9" i="14"/>
  <c r="N9" i="14"/>
  <c r="O8" i="14"/>
  <c r="N8" i="14"/>
  <c r="O7" i="14"/>
  <c r="N7" i="14"/>
  <c r="O6" i="14"/>
  <c r="N6" i="14"/>
  <c r="O5" i="14"/>
  <c r="N5" i="14"/>
  <c r="O4" i="14"/>
  <c r="N4" i="14"/>
  <c r="O3" i="14"/>
  <c r="N3" i="14"/>
  <c r="O2" i="14"/>
  <c r="N2" i="14"/>
  <c r="O2" i="28"/>
  <c r="O20" i="28"/>
  <c r="O19" i="28"/>
  <c r="O18" i="28"/>
  <c r="O17" i="28"/>
  <c r="O16" i="28"/>
  <c r="O15" i="28"/>
  <c r="O14" i="28"/>
  <c r="O13" i="28"/>
  <c r="O12" i="28"/>
  <c r="O11" i="28"/>
  <c r="O10" i="28"/>
  <c r="O9" i="28"/>
  <c r="O8" i="28"/>
  <c r="O7" i="28"/>
  <c r="O6" i="28"/>
  <c r="O5" i="28"/>
  <c r="O4" i="28"/>
  <c r="O3" i="28"/>
  <c r="K3" i="23"/>
  <c r="N20" i="28"/>
  <c r="N19" i="28"/>
  <c r="N18" i="28"/>
  <c r="N17" i="28"/>
  <c r="N16" i="28"/>
  <c r="N15" i="28"/>
  <c r="N14" i="28"/>
  <c r="N13" i="28"/>
  <c r="N12" i="28"/>
  <c r="N11" i="28"/>
  <c r="N10" i="28"/>
  <c r="N9" i="28"/>
  <c r="N8" i="28"/>
  <c r="N7" i="28"/>
  <c r="N6" i="28"/>
  <c r="N5" i="28"/>
  <c r="N4" i="28"/>
  <c r="N3" i="28"/>
  <c r="N2" i="28"/>
  <c r="E37" i="7"/>
  <c r="E38" i="7"/>
  <c r="E39" i="7"/>
  <c r="E40" i="7"/>
  <c r="E41" i="7"/>
  <c r="E42" i="7"/>
  <c r="E43" i="7"/>
  <c r="E36" i="7"/>
  <c r="B37" i="7"/>
  <c r="B38" i="7"/>
  <c r="B39" i="7"/>
  <c r="B40" i="7"/>
  <c r="B41" i="7"/>
  <c r="B42" i="7"/>
  <c r="B43" i="7"/>
  <c r="B44" i="7"/>
  <c r="B45" i="7"/>
  <c r="B46" i="7"/>
  <c r="B47" i="7"/>
  <c r="B36" i="7"/>
  <c r="F33" i="7" a="1"/>
  <c r="F33" i="7" s="1"/>
  <c r="F32" i="7" a="1"/>
  <c r="F32" i="7" s="1"/>
  <c r="F31" i="7" a="1"/>
  <c r="F31" i="7" s="1"/>
  <c r="L7" i="7" s="1"/>
  <c r="F30" i="7" a="1"/>
  <c r="F30" i="7" s="1"/>
  <c r="L6" i="7" s="1"/>
  <c r="C33" i="7" a="1"/>
  <c r="C33" i="7" s="1"/>
  <c r="C32" i="7" a="1"/>
  <c r="C32" i="7" s="1"/>
  <c r="C31" i="7" a="1"/>
  <c r="C31" i="7" s="1"/>
  <c r="M7" i="7" s="1"/>
  <c r="C30" i="7" a="1"/>
  <c r="C30" i="7" s="1"/>
  <c r="M6" i="7" s="1"/>
  <c r="C44" i="7" l="1"/>
  <c r="C40" i="7"/>
  <c r="F36" i="7"/>
  <c r="F40" i="7"/>
  <c r="F39" i="7"/>
  <c r="C47" i="7"/>
  <c r="C43" i="7"/>
  <c r="F43" i="7"/>
  <c r="C46" i="7"/>
  <c r="C42" i="7"/>
  <c r="C38" i="7"/>
  <c r="F42" i="7"/>
  <c r="F38" i="7"/>
  <c r="C36" i="7"/>
  <c r="C39" i="7"/>
  <c r="C45" i="7"/>
  <c r="C41" i="7"/>
  <c r="C37" i="7"/>
  <c r="F41" i="7"/>
  <c r="F37" i="7"/>
  <c r="F12" i="7"/>
  <c r="E12" i="7"/>
  <c r="Q8" i="3" l="1"/>
  <c r="N3" i="29" l="1"/>
  <c r="N2" i="29"/>
  <c r="M3" i="29"/>
  <c r="M2" i="29"/>
  <c r="AF5655" i="42"/>
  <c r="AF5656" i="42"/>
  <c r="AF5657" i="42"/>
  <c r="AF5658" i="42"/>
  <c r="AF5659" i="42"/>
  <c r="AF5660" i="42"/>
  <c r="AF5661" i="42"/>
  <c r="AF5662" i="42"/>
  <c r="AF5663" i="42"/>
  <c r="AF5664" i="42"/>
  <c r="AF5665" i="42"/>
  <c r="AF5666" i="42"/>
  <c r="AF5667" i="42"/>
  <c r="AF5668" i="42"/>
  <c r="AF5669" i="42"/>
  <c r="AF5670" i="42"/>
  <c r="AF5671" i="42"/>
  <c r="AF5672" i="42"/>
  <c r="AF5673" i="42"/>
  <c r="AF5674" i="42"/>
  <c r="AF5675" i="42"/>
  <c r="AF5676" i="42"/>
  <c r="AF5677" i="42"/>
  <c r="AF5678" i="42"/>
  <c r="AF5679" i="42"/>
  <c r="AF5680" i="42"/>
  <c r="AF5681" i="42"/>
  <c r="AF5682" i="42"/>
  <c r="AF5683" i="42"/>
  <c r="AF5684" i="42"/>
  <c r="AF5685" i="42"/>
  <c r="AF5686" i="42"/>
  <c r="AF5687" i="42"/>
  <c r="AF5688" i="42"/>
  <c r="AF5689" i="42"/>
  <c r="AF5690" i="42"/>
  <c r="AF5691" i="42"/>
  <c r="AF5692" i="42"/>
  <c r="AF5693" i="42"/>
  <c r="AF5694" i="42"/>
  <c r="AF5695" i="42"/>
  <c r="AF5696" i="42"/>
  <c r="AF5697" i="42"/>
  <c r="AF5698" i="42"/>
  <c r="AF5699" i="42"/>
  <c r="AF5700" i="42"/>
  <c r="AF5701" i="42"/>
  <c r="AF5702" i="42"/>
  <c r="AF5703" i="42"/>
  <c r="AF5704" i="42"/>
  <c r="AF5705" i="42"/>
  <c r="AF5706" i="42"/>
  <c r="AF5707" i="42"/>
  <c r="AF5708" i="42"/>
  <c r="AF5709" i="42"/>
  <c r="AF5710" i="42"/>
  <c r="AF5711" i="42"/>
  <c r="AF5712" i="42"/>
  <c r="AF5713" i="42"/>
  <c r="AF5714" i="42"/>
  <c r="AF5715" i="42"/>
  <c r="AF5716" i="42"/>
  <c r="AF5717" i="42"/>
  <c r="AF5718" i="42"/>
  <c r="AF5719" i="42"/>
  <c r="AF5720" i="42"/>
  <c r="AF5721" i="42"/>
  <c r="AF5722" i="42"/>
  <c r="AF5723" i="42"/>
  <c r="AF5724" i="42"/>
  <c r="AF5725" i="42"/>
  <c r="AF5726" i="42"/>
  <c r="AF5727" i="42"/>
  <c r="AF5728" i="42"/>
  <c r="AF5729" i="42"/>
  <c r="AF5730" i="42"/>
  <c r="AF5731" i="42"/>
  <c r="AF5732" i="42"/>
  <c r="AF5733" i="42"/>
  <c r="AF5734" i="42"/>
  <c r="AF5735" i="42"/>
  <c r="AF5736" i="42"/>
  <c r="AF5737" i="42"/>
  <c r="AF5738" i="42"/>
  <c r="AF5739" i="42"/>
  <c r="AF5740" i="42"/>
  <c r="AF5741" i="42"/>
  <c r="AF5742" i="42"/>
  <c r="AF5743" i="42"/>
  <c r="AF5744" i="42"/>
  <c r="AF5745" i="42"/>
  <c r="AF5746" i="42"/>
  <c r="AF5747" i="42"/>
  <c r="AF5748" i="42"/>
  <c r="AF5749" i="42"/>
  <c r="AF5750" i="42"/>
  <c r="AF5751" i="42"/>
  <c r="AF5752" i="42"/>
  <c r="AF5753" i="42"/>
  <c r="AF5754" i="42"/>
  <c r="AF5755" i="42"/>
  <c r="AF5756" i="42"/>
  <c r="AF5757" i="42"/>
  <c r="AF5758" i="42"/>
  <c r="AF5759" i="42"/>
  <c r="AF5760" i="42"/>
  <c r="AF5761" i="42"/>
  <c r="AF5762" i="42"/>
  <c r="AF5763" i="42"/>
  <c r="AF5764" i="42"/>
  <c r="AF5765" i="42"/>
  <c r="AF5766" i="42"/>
  <c r="AF5767" i="42"/>
  <c r="AF5768" i="42"/>
  <c r="AF5769" i="42"/>
  <c r="AF5770" i="42"/>
  <c r="AF5771" i="42"/>
  <c r="AF5772" i="42"/>
  <c r="AF5773" i="42"/>
  <c r="AF5774" i="42"/>
  <c r="AF5775" i="42"/>
  <c r="AF5776" i="42"/>
  <c r="AF5777" i="42"/>
  <c r="AF5778" i="42"/>
  <c r="AF5779" i="42"/>
  <c r="AF5780" i="42"/>
  <c r="AF5781" i="42"/>
  <c r="AF5782" i="42"/>
  <c r="AF5783" i="42"/>
  <c r="AF5784" i="42"/>
  <c r="AF5785" i="42"/>
  <c r="AF5786" i="42"/>
  <c r="AF5787" i="42"/>
  <c r="AF5788" i="42"/>
  <c r="AF5789" i="42"/>
  <c r="AF5790" i="42"/>
  <c r="AF5791" i="42"/>
  <c r="AF5792" i="42"/>
  <c r="AF5793" i="42"/>
  <c r="AF5794" i="42"/>
  <c r="AF5795" i="42"/>
  <c r="AF5796" i="42"/>
  <c r="AF5797" i="42"/>
  <c r="AF5798" i="42"/>
  <c r="AF5799" i="42"/>
  <c r="AF5800" i="42"/>
  <c r="AF5801" i="42"/>
  <c r="AF5802" i="42"/>
  <c r="AF5803" i="42"/>
  <c r="AF5804" i="42"/>
  <c r="AF5805" i="42"/>
  <c r="AF5806" i="42"/>
  <c r="AF5807" i="42"/>
  <c r="AF5808" i="42"/>
  <c r="AF5809" i="42"/>
  <c r="AF5810" i="42"/>
  <c r="AF5811" i="42"/>
  <c r="AF5812" i="42"/>
  <c r="AF5813" i="42"/>
  <c r="AF5814" i="42"/>
  <c r="AF5815" i="42"/>
  <c r="AF5816" i="42"/>
  <c r="AF5817" i="42"/>
  <c r="AF5818" i="42"/>
  <c r="AF5819" i="42"/>
  <c r="AF5820" i="42"/>
  <c r="AF5821" i="42"/>
  <c r="AF5822" i="42"/>
  <c r="AF5823" i="42"/>
  <c r="AF5824" i="42"/>
  <c r="AF5825" i="42"/>
  <c r="AF5826" i="42"/>
  <c r="AF5827" i="42"/>
  <c r="AF5828" i="42"/>
  <c r="AF5829" i="42"/>
  <c r="AF5830" i="42"/>
  <c r="AF5831" i="42"/>
  <c r="AF5832" i="42"/>
  <c r="AF5833" i="42"/>
  <c r="AF5834" i="42"/>
  <c r="AF5835" i="42"/>
  <c r="AF5836" i="42"/>
  <c r="AF5837" i="42"/>
  <c r="AF5838" i="42"/>
  <c r="AF5839" i="42"/>
  <c r="AF5840" i="42"/>
  <c r="AF5841" i="42"/>
  <c r="AF5842" i="42"/>
  <c r="AF5843" i="42"/>
  <c r="AF5844" i="42"/>
  <c r="AF5845" i="42"/>
  <c r="AF5846" i="42"/>
  <c r="AF5847" i="42"/>
  <c r="AF5848" i="42"/>
  <c r="AF5849" i="42"/>
  <c r="AF5850" i="42"/>
  <c r="AF5851" i="42"/>
  <c r="AF5852" i="42"/>
  <c r="AF5853" i="42"/>
  <c r="AF5854" i="42"/>
  <c r="AF5855" i="42"/>
  <c r="AF5856" i="42"/>
  <c r="AF5857" i="42"/>
  <c r="AF5858" i="42"/>
  <c r="AF5859" i="42"/>
  <c r="AF5860" i="42"/>
  <c r="AF5861" i="42"/>
  <c r="AF5862" i="42"/>
  <c r="AF5863" i="42"/>
  <c r="AF5864" i="42"/>
  <c r="AF5865" i="42"/>
  <c r="AF5866" i="42"/>
  <c r="AF5867" i="42"/>
  <c r="AF5868" i="42"/>
  <c r="AF5869" i="42"/>
  <c r="AF5870" i="42"/>
  <c r="AF5871" i="42"/>
  <c r="AF5872" i="42"/>
  <c r="AF5873" i="42"/>
  <c r="AF5874" i="42"/>
  <c r="A78" i="2" l="1"/>
  <c r="A82" i="2"/>
  <c r="A84" i="2"/>
  <c r="A85" i="2"/>
  <c r="A56" i="2"/>
  <c r="A51" i="2"/>
  <c r="A60" i="2"/>
  <c r="A77" i="2"/>
  <c r="A75" i="2"/>
  <c r="A72" i="2"/>
  <c r="A74" i="2"/>
  <c r="A73" i="2"/>
  <c r="A34" i="2"/>
  <c r="A57" i="2"/>
  <c r="A92" i="2"/>
  <c r="A23" i="2"/>
  <c r="A33" i="2"/>
  <c r="A46" i="2"/>
  <c r="A26" i="2"/>
  <c r="A22" i="2"/>
  <c r="A21" i="2"/>
  <c r="D7" i="7" s="1"/>
  <c r="A20" i="2"/>
  <c r="A17" i="2"/>
  <c r="A15" i="2"/>
  <c r="A16" i="2"/>
  <c r="A14" i="2"/>
  <c r="A13" i="2"/>
  <c r="AF5315" i="42" l="1"/>
  <c r="AF5316" i="42"/>
  <c r="AF5317" i="42"/>
  <c r="AF5318" i="42"/>
  <c r="AF5319" i="42"/>
  <c r="AF5320" i="42"/>
  <c r="AF5321" i="42"/>
  <c r="AF5322" i="42"/>
  <c r="AF5323" i="42"/>
  <c r="AF5324" i="42"/>
  <c r="AF5325" i="42"/>
  <c r="AF5326" i="42"/>
  <c r="AF5327" i="42"/>
  <c r="AF5328" i="42"/>
  <c r="AF5329" i="42"/>
  <c r="AF5330" i="42"/>
  <c r="AF5331" i="42"/>
  <c r="AF5332" i="42"/>
  <c r="AF5333" i="42"/>
  <c r="AF5334" i="42"/>
  <c r="AF5335" i="42"/>
  <c r="AF5336" i="42"/>
  <c r="AF5337" i="42"/>
  <c r="AF5338" i="42"/>
  <c r="AF5339" i="42"/>
  <c r="AF5340" i="42"/>
  <c r="AF5341" i="42"/>
  <c r="AF5342" i="42"/>
  <c r="AF5343" i="42"/>
  <c r="AF5344" i="42"/>
  <c r="AF5345" i="42"/>
  <c r="AF5346" i="42"/>
  <c r="AF5347" i="42"/>
  <c r="AF5348" i="42"/>
  <c r="AF5349" i="42"/>
  <c r="AF5350" i="42"/>
  <c r="AF5351" i="42"/>
  <c r="AF5352" i="42"/>
  <c r="AF5353" i="42"/>
  <c r="AF5354" i="42"/>
  <c r="AF5355" i="42"/>
  <c r="AF5356" i="42"/>
  <c r="AF5357" i="42"/>
  <c r="AF5358" i="42"/>
  <c r="AF5359" i="42"/>
  <c r="AF5360" i="42"/>
  <c r="AF5361" i="42"/>
  <c r="AF5362" i="42"/>
  <c r="AF5363" i="42"/>
  <c r="AF5364" i="42"/>
  <c r="AF5365" i="42"/>
  <c r="AF5366" i="42"/>
  <c r="AF5367" i="42"/>
  <c r="AF5368" i="42"/>
  <c r="AF5369" i="42"/>
  <c r="AF5370" i="42"/>
  <c r="AF5371" i="42"/>
  <c r="AF5372" i="42"/>
  <c r="AF5373" i="42"/>
  <c r="AF5374" i="42"/>
  <c r="AF5375" i="42"/>
  <c r="AF5376" i="42"/>
  <c r="AF5377" i="42"/>
  <c r="AF5378" i="42"/>
  <c r="AF5379" i="42"/>
  <c r="AF5380" i="42"/>
  <c r="AF5381" i="42"/>
  <c r="AF5382" i="42"/>
  <c r="AF5383" i="42"/>
  <c r="AF5384" i="42"/>
  <c r="AF5385" i="42"/>
  <c r="AF5386" i="42"/>
  <c r="AF5387" i="42"/>
  <c r="AF5388" i="42"/>
  <c r="AF5389" i="42"/>
  <c r="AF5390" i="42"/>
  <c r="AF5391" i="42"/>
  <c r="AF5392" i="42"/>
  <c r="AF5393" i="42"/>
  <c r="AF5394" i="42"/>
  <c r="AF5395" i="42"/>
  <c r="AF5396" i="42"/>
  <c r="AF5397" i="42"/>
  <c r="AF5398" i="42"/>
  <c r="AF5399" i="42"/>
  <c r="AF5400" i="42"/>
  <c r="AF5401" i="42"/>
  <c r="AF5402" i="42"/>
  <c r="AF5403" i="42"/>
  <c r="AF5404" i="42"/>
  <c r="AF5405" i="42"/>
  <c r="AF5406" i="42"/>
  <c r="AF5407" i="42"/>
  <c r="AF5408" i="42"/>
  <c r="AF5409" i="42"/>
  <c r="AF5410" i="42"/>
  <c r="AF5411" i="42"/>
  <c r="AF5412" i="42"/>
  <c r="AF5413" i="42"/>
  <c r="AF5414" i="42"/>
  <c r="AF5415" i="42"/>
  <c r="AF5416" i="42"/>
  <c r="AF5417" i="42"/>
  <c r="AF5418" i="42"/>
  <c r="AF5419" i="42"/>
  <c r="AF5420" i="42"/>
  <c r="AF5421" i="42"/>
  <c r="AF5422" i="42"/>
  <c r="AF5423" i="42"/>
  <c r="AF5424" i="42"/>
  <c r="AF5425" i="42"/>
  <c r="AF5426" i="42"/>
  <c r="AF5427" i="42"/>
  <c r="AF5428" i="42"/>
  <c r="AF5429" i="42"/>
  <c r="AF5430" i="42"/>
  <c r="AF5431" i="42"/>
  <c r="AF5432" i="42"/>
  <c r="AF5433" i="42"/>
  <c r="AF5434" i="42"/>
  <c r="AF5435" i="42"/>
  <c r="AF5436" i="42"/>
  <c r="AF5437" i="42"/>
  <c r="AF5438" i="42"/>
  <c r="AF5439" i="42"/>
  <c r="AF5440" i="42"/>
  <c r="AF5441" i="42"/>
  <c r="AF5442" i="42"/>
  <c r="AF5443" i="42"/>
  <c r="AF5444" i="42"/>
  <c r="AF5445" i="42"/>
  <c r="AF5446" i="42"/>
  <c r="AF5447" i="42"/>
  <c r="AF5448" i="42"/>
  <c r="AF5449" i="42"/>
  <c r="AF5450" i="42"/>
  <c r="AF5451" i="42"/>
  <c r="AF5452" i="42"/>
  <c r="AF5453" i="42"/>
  <c r="AF5454" i="42"/>
  <c r="AF5455" i="42"/>
  <c r="AF5456" i="42"/>
  <c r="AF5457" i="42"/>
  <c r="AF5458" i="42"/>
  <c r="AF5459" i="42"/>
  <c r="AF5460" i="42"/>
  <c r="AF5461" i="42"/>
  <c r="AF5462" i="42"/>
  <c r="AF5463" i="42"/>
  <c r="AF5464" i="42"/>
  <c r="AF5465" i="42"/>
  <c r="AF5466" i="42"/>
  <c r="AF5467" i="42"/>
  <c r="AF5468" i="42"/>
  <c r="AF5469" i="42"/>
  <c r="AF5470" i="42"/>
  <c r="AF5471" i="42"/>
  <c r="AF5472" i="42"/>
  <c r="AF5473" i="42"/>
  <c r="AF5474" i="42"/>
  <c r="AF5475" i="42"/>
  <c r="AF5476" i="42"/>
  <c r="AF5477" i="42"/>
  <c r="AF5478" i="42"/>
  <c r="AF5479" i="42"/>
  <c r="AF5480" i="42"/>
  <c r="AF5481" i="42"/>
  <c r="AF5482" i="42"/>
  <c r="AF5483" i="42"/>
  <c r="AF5484" i="42"/>
  <c r="AF5485" i="42"/>
  <c r="AF5486" i="42"/>
  <c r="AF5487" i="42"/>
  <c r="AF5488" i="42"/>
  <c r="AF5489" i="42"/>
  <c r="AF5490" i="42"/>
  <c r="AF5491" i="42"/>
  <c r="AF5492" i="42"/>
  <c r="AF5493" i="42"/>
  <c r="AF5494" i="42"/>
  <c r="AF5495" i="42"/>
  <c r="AF5496" i="42"/>
  <c r="AF5497" i="42"/>
  <c r="AF5498" i="42"/>
  <c r="AF5499" i="42"/>
  <c r="AF5500" i="42"/>
  <c r="AF5501" i="42"/>
  <c r="AF5502" i="42"/>
  <c r="AF5503" i="42"/>
  <c r="AF5504" i="42"/>
  <c r="AF5505" i="42"/>
  <c r="AF5506" i="42"/>
  <c r="AF5507" i="42"/>
  <c r="AF5508" i="42"/>
  <c r="AF5509" i="42"/>
  <c r="AF5510" i="42"/>
  <c r="AF5511" i="42"/>
  <c r="AF5512" i="42"/>
  <c r="AF5513" i="42"/>
  <c r="AF5514" i="42"/>
  <c r="AF5515" i="42"/>
  <c r="AF5516" i="42"/>
  <c r="AF5517" i="42"/>
  <c r="AF5518" i="42"/>
  <c r="AF5519" i="42"/>
  <c r="AF5520" i="42"/>
  <c r="AF5521" i="42"/>
  <c r="AF5522" i="42"/>
  <c r="AF5523" i="42"/>
  <c r="AF5524" i="42"/>
  <c r="AF5525" i="42"/>
  <c r="AF5526" i="42"/>
  <c r="AF5527" i="42"/>
  <c r="AF5528" i="42"/>
  <c r="AF5529" i="42"/>
  <c r="AF5530" i="42"/>
  <c r="AF5531" i="42"/>
  <c r="AF5532" i="42"/>
  <c r="AF5533" i="42"/>
  <c r="AF5534" i="42"/>
  <c r="AF5535" i="42"/>
  <c r="AF5536" i="42"/>
  <c r="AF5537" i="42"/>
  <c r="AF5538" i="42"/>
  <c r="AF5539" i="42"/>
  <c r="AF5540" i="42"/>
  <c r="AF5541" i="42"/>
  <c r="AF5542" i="42"/>
  <c r="AF5543" i="42"/>
  <c r="AF5544" i="42"/>
  <c r="AF5545" i="42"/>
  <c r="AF5546" i="42"/>
  <c r="AF5547" i="42"/>
  <c r="AF5548" i="42"/>
  <c r="AF5549" i="42"/>
  <c r="AF5550" i="42"/>
  <c r="AF5551" i="42"/>
  <c r="AF5552" i="42"/>
  <c r="AF5553" i="42"/>
  <c r="AF5554" i="42"/>
  <c r="AF5555" i="42"/>
  <c r="AF5556" i="42"/>
  <c r="AF5557" i="42"/>
  <c r="AF5558" i="42"/>
  <c r="AF5559" i="42"/>
  <c r="AF5560" i="42"/>
  <c r="AF5561" i="42"/>
  <c r="AF5562" i="42"/>
  <c r="AF5563" i="42"/>
  <c r="AF5564" i="42"/>
  <c r="AF5565" i="42"/>
  <c r="AF5566" i="42"/>
  <c r="AF5567" i="42"/>
  <c r="AF5568" i="42"/>
  <c r="AF5569" i="42"/>
  <c r="AF5570" i="42"/>
  <c r="AF5571" i="42"/>
  <c r="AF5572" i="42"/>
  <c r="AF5573" i="42"/>
  <c r="AF5574" i="42"/>
  <c r="AF5575" i="42"/>
  <c r="AF5576" i="42"/>
  <c r="AF5577" i="42"/>
  <c r="AF5578" i="42"/>
  <c r="AF5579" i="42"/>
  <c r="AF5580" i="42"/>
  <c r="AF5581" i="42"/>
  <c r="AF5582" i="42"/>
  <c r="AF5583" i="42"/>
  <c r="AF5584" i="42"/>
  <c r="AF5585" i="42"/>
  <c r="AF5586" i="42"/>
  <c r="AF5587" i="42"/>
  <c r="AF5588" i="42"/>
  <c r="AF5589" i="42"/>
  <c r="AF5590" i="42"/>
  <c r="AF5591" i="42"/>
  <c r="AF5592" i="42"/>
  <c r="AF5593" i="42"/>
  <c r="AF5594" i="42"/>
  <c r="AF5595" i="42"/>
  <c r="AF5596" i="42"/>
  <c r="AF5597" i="42"/>
  <c r="AF5598" i="42"/>
  <c r="AF5599" i="42"/>
  <c r="AF5600" i="42"/>
  <c r="AF5601" i="42"/>
  <c r="AF5602" i="42"/>
  <c r="AF5603" i="42"/>
  <c r="AF5604" i="42"/>
  <c r="AF5605" i="42"/>
  <c r="AF5606" i="42"/>
  <c r="AF5607" i="42"/>
  <c r="AF5608" i="42"/>
  <c r="AF5609" i="42"/>
  <c r="AF5610" i="42"/>
  <c r="AF5611" i="42"/>
  <c r="AF5612" i="42"/>
  <c r="AF5613" i="42"/>
  <c r="AF5614" i="42"/>
  <c r="AF5615" i="42"/>
  <c r="AF5616" i="42"/>
  <c r="AF5617" i="42"/>
  <c r="AF5618" i="42"/>
  <c r="AF5619" i="42"/>
  <c r="AF5620" i="42"/>
  <c r="AF5621" i="42"/>
  <c r="AF5622" i="42"/>
  <c r="AF5623" i="42"/>
  <c r="AF5624" i="42"/>
  <c r="AF5625" i="42"/>
  <c r="AF5626" i="42"/>
  <c r="AF5627" i="42"/>
  <c r="AF5628" i="42"/>
  <c r="AF5629" i="42"/>
  <c r="AF5630" i="42"/>
  <c r="AF5631" i="42"/>
  <c r="AF5632" i="42"/>
  <c r="AF5633" i="42"/>
  <c r="AF5634" i="42"/>
  <c r="AF5635" i="42"/>
  <c r="AF5636" i="42"/>
  <c r="AF5637" i="42"/>
  <c r="AF5638" i="42"/>
  <c r="AF5639" i="42"/>
  <c r="AF5640" i="42"/>
  <c r="AF5641" i="42"/>
  <c r="AF5642" i="42"/>
  <c r="AF5643" i="42"/>
  <c r="AF5644" i="42"/>
  <c r="AF5645" i="42"/>
  <c r="AF5646" i="42"/>
  <c r="AF5647" i="42"/>
  <c r="AF5648" i="42"/>
  <c r="AF5649" i="42"/>
  <c r="AF5650" i="42"/>
  <c r="AF5651" i="42"/>
  <c r="AF5652" i="42"/>
  <c r="AF5653" i="42"/>
  <c r="AF5654" i="42"/>
  <c r="D6" i="7"/>
  <c r="G19" i="6" l="1"/>
  <c r="G20" i="6"/>
  <c r="G18" i="6"/>
  <c r="A76" i="2"/>
  <c r="A69" i="2"/>
  <c r="A67" i="2"/>
  <c r="A48" i="2"/>
  <c r="A47" i="2"/>
  <c r="A79" i="2"/>
  <c r="A80" i="2" s="1"/>
  <c r="A59" i="2"/>
  <c r="A58" i="2"/>
  <c r="A61" i="2"/>
  <c r="A62" i="2" s="1"/>
  <c r="A63" i="2" s="1"/>
  <c r="A86" i="2"/>
  <c r="A87" i="2" s="1"/>
  <c r="A88" i="2" s="1"/>
  <c r="A66" i="2"/>
  <c r="E4" i="7"/>
  <c r="A25" i="2"/>
  <c r="O25" i="2" s="1"/>
  <c r="A24" i="2"/>
  <c r="O24" i="2" s="1"/>
  <c r="O22" i="2"/>
  <c r="Q21" i="2"/>
  <c r="Q20" i="2"/>
  <c r="O16" i="2"/>
  <c r="Q15" i="2"/>
  <c r="O15" i="2"/>
  <c r="O14" i="2"/>
  <c r="Q13" i="2"/>
  <c r="O13" i="2"/>
  <c r="F4" i="7" l="1"/>
  <c r="A71" i="2"/>
  <c r="K71" i="2" s="1"/>
  <c r="AS13" i="2"/>
  <c r="AS15" i="2"/>
  <c r="U15" i="2"/>
  <c r="Y15" i="2"/>
  <c r="AC15" i="2"/>
  <c r="AG15" i="2"/>
  <c r="AK15" i="2"/>
  <c r="AO15" i="2"/>
  <c r="U13" i="2"/>
  <c r="Y13" i="2"/>
  <c r="AC13" i="2"/>
  <c r="AG13" i="2"/>
  <c r="AK13" i="2"/>
  <c r="AO13" i="2"/>
  <c r="R60" i="2" l="1"/>
  <c r="Q60" i="2"/>
  <c r="P60" i="2"/>
  <c r="O60" i="2"/>
  <c r="N60" i="2"/>
  <c r="M60" i="2"/>
  <c r="L60" i="2"/>
  <c r="C42" i="42" l="1"/>
  <c r="D42" i="42"/>
  <c r="E42" i="42"/>
  <c r="F42" i="42"/>
  <c r="C18" i="42"/>
  <c r="C16" i="42" s="1"/>
  <c r="D16" i="42"/>
  <c r="AE7" i="5"/>
  <c r="X7" i="5"/>
  <c r="W7" i="5"/>
  <c r="V7" i="5"/>
  <c r="AE6" i="5"/>
  <c r="X6" i="5"/>
  <c r="W6" i="5"/>
  <c r="V6" i="5"/>
  <c r="AE5" i="5"/>
  <c r="X5" i="5"/>
  <c r="W5" i="5"/>
  <c r="V5" i="5"/>
  <c r="AE4" i="5"/>
  <c r="X4" i="5"/>
  <c r="W4" i="5"/>
  <c r="V4" i="5"/>
  <c r="I16" i="5"/>
  <c r="AF5314" i="42"/>
  <c r="AF5313" i="42"/>
  <c r="AF5312" i="42"/>
  <c r="AF5311" i="42"/>
  <c r="AF5310" i="42"/>
  <c r="AF5309" i="42"/>
  <c r="AF5308" i="42"/>
  <c r="AF5307" i="42"/>
  <c r="AF5306" i="42"/>
  <c r="AF5305" i="42"/>
  <c r="AF5304" i="42"/>
  <c r="AF5303" i="42"/>
  <c r="AF5302" i="42"/>
  <c r="AF5301" i="42"/>
  <c r="AF5300" i="42"/>
  <c r="AF5299" i="42"/>
  <c r="AF5298" i="42"/>
  <c r="AF5297" i="42"/>
  <c r="AF5296" i="42"/>
  <c r="AF5295" i="42"/>
  <c r="AF5294" i="42"/>
  <c r="AF5293" i="42"/>
  <c r="AF5292" i="42"/>
  <c r="AF5291" i="42"/>
  <c r="AF5290" i="42"/>
  <c r="AF5289" i="42"/>
  <c r="AF5288" i="42"/>
  <c r="AF5287" i="42"/>
  <c r="AF5286" i="42"/>
  <c r="AF5285" i="42"/>
  <c r="AF5284" i="42"/>
  <c r="AF5283" i="42"/>
  <c r="AF5282" i="42"/>
  <c r="AF5281" i="42"/>
  <c r="AF5280" i="42"/>
  <c r="AF5279" i="42"/>
  <c r="AF5278" i="42"/>
  <c r="AF5277" i="42"/>
  <c r="AF5276" i="42"/>
  <c r="AF5275" i="42"/>
  <c r="AF5274" i="42"/>
  <c r="AF5273" i="42"/>
  <c r="AF5272" i="42"/>
  <c r="AF5271" i="42"/>
  <c r="AF5270" i="42"/>
  <c r="AF5269" i="42"/>
  <c r="AF5268" i="42"/>
  <c r="AF5267" i="42"/>
  <c r="AF5266" i="42"/>
  <c r="AF5265" i="42"/>
  <c r="AF5264" i="42"/>
  <c r="AF5263" i="42"/>
  <c r="AF5262" i="42"/>
  <c r="AF5261" i="42"/>
  <c r="AF5260" i="42"/>
  <c r="AF5259" i="42"/>
  <c r="AF5258" i="42"/>
  <c r="AF5257" i="42"/>
  <c r="AF5256" i="42"/>
  <c r="AF5255" i="42"/>
  <c r="AF5254" i="42"/>
  <c r="AF5253" i="42"/>
  <c r="AF5252" i="42"/>
  <c r="AF5251" i="42"/>
  <c r="AF5250" i="42"/>
  <c r="AF5249" i="42"/>
  <c r="AF5248" i="42"/>
  <c r="AF5247" i="42"/>
  <c r="AF5246" i="42"/>
  <c r="AF5245" i="42"/>
  <c r="AF5244" i="42"/>
  <c r="AF5243" i="42"/>
  <c r="AF5242" i="42"/>
  <c r="AF5241" i="42"/>
  <c r="AF5240" i="42"/>
  <c r="AF5239" i="42"/>
  <c r="AF5238" i="42"/>
  <c r="AF5237" i="42"/>
  <c r="AF5236" i="42"/>
  <c r="AF5235" i="42"/>
  <c r="AF5234" i="42"/>
  <c r="AF5233" i="42"/>
  <c r="AF5232" i="42"/>
  <c r="AF5231" i="42"/>
  <c r="AF5230" i="42"/>
  <c r="AF5229" i="42"/>
  <c r="AF5228" i="42"/>
  <c r="AF5227" i="42"/>
  <c r="AF5226" i="42"/>
  <c r="AF5225" i="42"/>
  <c r="AF5224" i="42"/>
  <c r="AF5223" i="42"/>
  <c r="AF5222" i="42"/>
  <c r="AF5221" i="42"/>
  <c r="AF5220" i="42"/>
  <c r="AF5219" i="42"/>
  <c r="AF5218" i="42"/>
  <c r="AF5217" i="42"/>
  <c r="AF5216" i="42"/>
  <c r="AF5215" i="42"/>
  <c r="AF5214" i="42"/>
  <c r="AF5213" i="42"/>
  <c r="AF5212" i="42"/>
  <c r="AF5211" i="42"/>
  <c r="AF5210" i="42"/>
  <c r="AF5209" i="42"/>
  <c r="AF5208" i="42"/>
  <c r="AF5207" i="42"/>
  <c r="AF5206" i="42"/>
  <c r="AF5205" i="42"/>
  <c r="AF5204" i="42"/>
  <c r="AF5203" i="42"/>
  <c r="AF5202" i="42"/>
  <c r="AF5201" i="42"/>
  <c r="AF5200" i="42"/>
  <c r="AF5199" i="42"/>
  <c r="AF5198" i="42"/>
  <c r="AF5197" i="42"/>
  <c r="AF5196" i="42"/>
  <c r="AF5195" i="42"/>
  <c r="AF5194" i="42"/>
  <c r="AF5193" i="42"/>
  <c r="AF5192" i="42"/>
  <c r="AF5191" i="42"/>
  <c r="AF5190" i="42"/>
  <c r="AF5189" i="42"/>
  <c r="AF5188" i="42"/>
  <c r="AF5187" i="42"/>
  <c r="AF5186" i="42"/>
  <c r="AF5185" i="42"/>
  <c r="AF5184" i="42"/>
  <c r="AF5183" i="42"/>
  <c r="AF5182" i="42"/>
  <c r="AF5181" i="42"/>
  <c r="AF5180" i="42"/>
  <c r="AF5179" i="42"/>
  <c r="AF5178" i="42"/>
  <c r="AF5177" i="42"/>
  <c r="AF5176" i="42"/>
  <c r="AF5175" i="42"/>
  <c r="AF5174" i="42"/>
  <c r="AF5173" i="42"/>
  <c r="AF5172" i="42"/>
  <c r="AF5171" i="42"/>
  <c r="AF5170" i="42"/>
  <c r="AF5169" i="42"/>
  <c r="AF5168" i="42"/>
  <c r="AF5167" i="42"/>
  <c r="AF5166" i="42"/>
  <c r="AF5165" i="42"/>
  <c r="AF5164" i="42"/>
  <c r="AF5163" i="42"/>
  <c r="AF5162" i="42"/>
  <c r="AF5161" i="42"/>
  <c r="AF5160" i="42"/>
  <c r="AF5159" i="42"/>
  <c r="AF5158" i="42"/>
  <c r="AF5157" i="42"/>
  <c r="AF5156" i="42"/>
  <c r="AF5155" i="42"/>
  <c r="AF5154" i="42"/>
  <c r="AF5153" i="42"/>
  <c r="AF5152" i="42"/>
  <c r="AF5151" i="42"/>
  <c r="AF5150" i="42"/>
  <c r="AF5149" i="42"/>
  <c r="AF5148" i="42"/>
  <c r="AF5147" i="42"/>
  <c r="AF5146" i="42"/>
  <c r="AF5145" i="42"/>
  <c r="AF5144" i="42"/>
  <c r="AF5143" i="42"/>
  <c r="AF5142" i="42"/>
  <c r="AF5141" i="42"/>
  <c r="AF5140" i="42"/>
  <c r="AF5139" i="42"/>
  <c r="AF5138" i="42"/>
  <c r="AF5137" i="42"/>
  <c r="AF5136" i="42"/>
  <c r="AF5135" i="42"/>
  <c r="AF5134" i="42"/>
  <c r="AF5133" i="42"/>
  <c r="AF5132" i="42"/>
  <c r="AF5131" i="42"/>
  <c r="AF5130" i="42"/>
  <c r="AF5129" i="42"/>
  <c r="AF5128" i="42"/>
  <c r="AF5127" i="42"/>
  <c r="AF5126" i="42"/>
  <c r="AF5125" i="42"/>
  <c r="AF5124" i="42"/>
  <c r="AF5123" i="42"/>
  <c r="AF5122" i="42"/>
  <c r="AF5121" i="42"/>
  <c r="AF5120" i="42"/>
  <c r="AF5119" i="42"/>
  <c r="AF5118" i="42"/>
  <c r="AF5117" i="42"/>
  <c r="AF5116" i="42"/>
  <c r="AF5115" i="42"/>
  <c r="AF5114" i="42"/>
  <c r="AF5113" i="42"/>
  <c r="AF5112" i="42"/>
  <c r="AF5111" i="42"/>
  <c r="AF5110" i="42"/>
  <c r="AF5109" i="42"/>
  <c r="AF5108" i="42"/>
  <c r="AF5107" i="42"/>
  <c r="AF5106" i="42"/>
  <c r="AF5105" i="42"/>
  <c r="AF5104" i="42"/>
  <c r="AF5103" i="42"/>
  <c r="AF5102" i="42"/>
  <c r="AF5101" i="42"/>
  <c r="AF5100" i="42"/>
  <c r="AF5099" i="42"/>
  <c r="AF5098" i="42"/>
  <c r="AF5097" i="42"/>
  <c r="AF5096" i="42"/>
  <c r="AF5095" i="42"/>
  <c r="AF5094" i="42"/>
  <c r="AF5093" i="42"/>
  <c r="AF5092" i="42"/>
  <c r="AF5091" i="42"/>
  <c r="AF5090" i="42"/>
  <c r="AF5089" i="42"/>
  <c r="AF5088" i="42"/>
  <c r="AF5087" i="42"/>
  <c r="AF5086" i="42"/>
  <c r="AF5085" i="42"/>
  <c r="AF5084" i="42"/>
  <c r="AF5083" i="42"/>
  <c r="AF5082" i="42"/>
  <c r="AF5081" i="42"/>
  <c r="AF5080" i="42"/>
  <c r="AF5079" i="42"/>
  <c r="AF5078" i="42"/>
  <c r="AF5077" i="42"/>
  <c r="AF5076" i="42"/>
  <c r="AF5075" i="42"/>
  <c r="AF5074" i="42"/>
  <c r="AF5073" i="42"/>
  <c r="AF5072" i="42"/>
  <c r="AF5071" i="42"/>
  <c r="AF5070" i="42"/>
  <c r="AF5069" i="42"/>
  <c r="AF5068" i="42"/>
  <c r="AF5067" i="42"/>
  <c r="AF5066" i="42"/>
  <c r="AF5065" i="42"/>
  <c r="AF5064" i="42"/>
  <c r="AF5063" i="42"/>
  <c r="AF5062" i="42"/>
  <c r="AF5061" i="42"/>
  <c r="AF5060" i="42"/>
  <c r="AF5059" i="42"/>
  <c r="AF5058" i="42"/>
  <c r="AF5057" i="42"/>
  <c r="AF5056" i="42"/>
  <c r="AF5055" i="42"/>
  <c r="AF5054" i="42"/>
  <c r="AF5053" i="42"/>
  <c r="AF5052" i="42"/>
  <c r="AF5051" i="42"/>
  <c r="AF5050" i="42"/>
  <c r="AF5049" i="42"/>
  <c r="AF5048" i="42"/>
  <c r="AF5047" i="42"/>
  <c r="AF5046" i="42"/>
  <c r="AF5045" i="42"/>
  <c r="AF5044" i="42"/>
  <c r="AF5043" i="42"/>
  <c r="AF5042" i="42"/>
  <c r="AF5041" i="42"/>
  <c r="AF5040" i="42"/>
  <c r="AF5039" i="42"/>
  <c r="AF5038" i="42"/>
  <c r="AF5037" i="42"/>
  <c r="AF5036" i="42"/>
  <c r="AF5035" i="42"/>
  <c r="AF5034" i="42"/>
  <c r="AF5033" i="42"/>
  <c r="AF5032" i="42"/>
  <c r="AF5031" i="42"/>
  <c r="AF5030" i="42"/>
  <c r="AF5029" i="42"/>
  <c r="AF5028" i="42"/>
  <c r="AF5027" i="42"/>
  <c r="AF5026" i="42"/>
  <c r="AF5025" i="42"/>
  <c r="AF5024" i="42"/>
  <c r="AF5023" i="42"/>
  <c r="AF5022" i="42"/>
  <c r="AF5021" i="42"/>
  <c r="AF5020" i="42"/>
  <c r="AF5019" i="42"/>
  <c r="AF5018" i="42"/>
  <c r="AF5017" i="42"/>
  <c r="AF5016" i="42"/>
  <c r="AF5015" i="42"/>
  <c r="AF5014" i="42"/>
  <c r="AF5013" i="42"/>
  <c r="AF5012" i="42"/>
  <c r="AF5011" i="42"/>
  <c r="AF5010" i="42"/>
  <c r="AF5009" i="42"/>
  <c r="AF5008" i="42"/>
  <c r="AF5007" i="42"/>
  <c r="AF5006" i="42"/>
  <c r="AF5005" i="42"/>
  <c r="AF5004" i="42"/>
  <c r="AF5003" i="42"/>
  <c r="AF5002" i="42"/>
  <c r="AF5001" i="42"/>
  <c r="AF5000" i="42"/>
  <c r="AF4999" i="42"/>
  <c r="AF4998" i="42"/>
  <c r="AF4997" i="42"/>
  <c r="AF4996" i="42"/>
  <c r="AF4995" i="42"/>
  <c r="AF4994" i="42"/>
  <c r="AF4993" i="42"/>
  <c r="AF4992" i="42"/>
  <c r="AF4991" i="42"/>
  <c r="AF4990" i="42"/>
  <c r="AF4989" i="42"/>
  <c r="AF4988" i="42"/>
  <c r="AF4987" i="42"/>
  <c r="AF4986" i="42"/>
  <c r="AF4985" i="42"/>
  <c r="AF4984" i="42"/>
  <c r="AF4983" i="42"/>
  <c r="AF4982" i="42"/>
  <c r="AF4981" i="42"/>
  <c r="AF4980" i="42"/>
  <c r="AF4979" i="42"/>
  <c r="AF4978" i="42"/>
  <c r="AF4977" i="42"/>
  <c r="AF4976" i="42"/>
  <c r="AF4975" i="42"/>
  <c r="AF4974" i="42"/>
  <c r="AF4973" i="42"/>
  <c r="AF4972" i="42"/>
  <c r="AF4971" i="42"/>
  <c r="AF4970" i="42"/>
  <c r="AF4969" i="42"/>
  <c r="AF4968" i="42"/>
  <c r="AF4967" i="42"/>
  <c r="AF4966" i="42"/>
  <c r="AF4965" i="42"/>
  <c r="AF4964" i="42"/>
  <c r="AF4963" i="42"/>
  <c r="AF4962" i="42"/>
  <c r="AF4961" i="42"/>
  <c r="AF4960" i="42"/>
  <c r="AF4959" i="42"/>
  <c r="AF4958" i="42"/>
  <c r="AF4957" i="42"/>
  <c r="AF4956" i="42"/>
  <c r="AF4955" i="42"/>
  <c r="AF4954" i="42"/>
  <c r="AF4953" i="42"/>
  <c r="AF4952" i="42"/>
  <c r="AF4951" i="42"/>
  <c r="AF4950" i="42"/>
  <c r="AF4949" i="42"/>
  <c r="AF4948" i="42"/>
  <c r="AF4947" i="42"/>
  <c r="AF4946" i="42"/>
  <c r="AF4945" i="42"/>
  <c r="AF4944" i="42"/>
  <c r="AF4943" i="42"/>
  <c r="AF4942" i="42"/>
  <c r="AF4941" i="42"/>
  <c r="AF4940" i="42"/>
  <c r="AF4939" i="42"/>
  <c r="AF4938" i="42"/>
  <c r="AF4937" i="42"/>
  <c r="AF4936" i="42"/>
  <c r="AF4935" i="42"/>
  <c r="AF4934" i="42"/>
  <c r="AF4933" i="42"/>
  <c r="AF4932" i="42"/>
  <c r="AF4931" i="42"/>
  <c r="AF4930" i="42"/>
  <c r="AF4929" i="42"/>
  <c r="AF4928" i="42"/>
  <c r="AF4927" i="42"/>
  <c r="AF4926" i="42"/>
  <c r="AF4925" i="42"/>
  <c r="AF4924" i="42"/>
  <c r="AF4923" i="42"/>
  <c r="AF4922" i="42"/>
  <c r="AF4921" i="42"/>
  <c r="AF4920" i="42"/>
  <c r="AF4919" i="42"/>
  <c r="AF4918" i="42"/>
  <c r="AF4917" i="42"/>
  <c r="AF4916" i="42"/>
  <c r="AF4915" i="42"/>
  <c r="AF4914" i="42"/>
  <c r="AF4913" i="42"/>
  <c r="AF4912" i="42"/>
  <c r="AF4911" i="42"/>
  <c r="AF4910" i="42"/>
  <c r="AF4909" i="42"/>
  <c r="AF4908" i="42"/>
  <c r="AF4907" i="42"/>
  <c r="AF4906" i="42"/>
  <c r="AF4905" i="42"/>
  <c r="AF4904" i="42"/>
  <c r="AF4903" i="42"/>
  <c r="AF4902" i="42"/>
  <c r="AF4901" i="42"/>
  <c r="AF4900" i="42"/>
  <c r="AF4899" i="42"/>
  <c r="AF4898" i="42"/>
  <c r="AF4897" i="42"/>
  <c r="AF4896" i="42"/>
  <c r="AF4895" i="42"/>
  <c r="AF4894" i="42"/>
  <c r="AF4893" i="42"/>
  <c r="AF4892" i="42"/>
  <c r="AF4891" i="42"/>
  <c r="AF4890" i="42"/>
  <c r="AF4889" i="42"/>
  <c r="AF4888" i="42"/>
  <c r="AF4887" i="42"/>
  <c r="AF4886" i="42"/>
  <c r="AF4885" i="42"/>
  <c r="AF4884" i="42"/>
  <c r="AF4883" i="42"/>
  <c r="AF4882" i="42"/>
  <c r="AF4881" i="42"/>
  <c r="AF4880" i="42"/>
  <c r="AF4879" i="42"/>
  <c r="AF4878" i="42"/>
  <c r="AF4877" i="42"/>
  <c r="AF4876" i="42"/>
  <c r="AF4875" i="42"/>
  <c r="AF4874" i="42"/>
  <c r="AF4873" i="42"/>
  <c r="AF4872" i="42"/>
  <c r="AF4871" i="42"/>
  <c r="AF4870" i="42"/>
  <c r="AF4869" i="42"/>
  <c r="AF4868" i="42"/>
  <c r="AF4867" i="42"/>
  <c r="AF4866" i="42"/>
  <c r="AF4865" i="42"/>
  <c r="AF4864" i="42"/>
  <c r="AF4863" i="42"/>
  <c r="AF4862" i="42"/>
  <c r="AF4861" i="42"/>
  <c r="AF4860" i="42"/>
  <c r="AF4859" i="42"/>
  <c r="AF4858" i="42"/>
  <c r="AF4857" i="42"/>
  <c r="AF4856" i="42"/>
  <c r="AF4855" i="42"/>
  <c r="AF4854" i="42"/>
  <c r="AF4853" i="42"/>
  <c r="AF4852" i="42"/>
  <c r="AF4851" i="42"/>
  <c r="AF4850" i="42"/>
  <c r="AF4849" i="42"/>
  <c r="AF4848" i="42"/>
  <c r="AF4847" i="42"/>
  <c r="AF4846" i="42"/>
  <c r="AF4845" i="42"/>
  <c r="AF4844" i="42"/>
  <c r="AF4843" i="42"/>
  <c r="AF4842" i="42"/>
  <c r="AF4841" i="42"/>
  <c r="AF4840" i="42"/>
  <c r="AF4839" i="42"/>
  <c r="AF4838" i="42"/>
  <c r="AF4837" i="42"/>
  <c r="AF4836" i="42"/>
  <c r="AF4835" i="42"/>
  <c r="AF4834" i="42"/>
  <c r="AF4833" i="42"/>
  <c r="AF4832" i="42"/>
  <c r="AF4831" i="42"/>
  <c r="AF4830" i="42"/>
  <c r="AF4829" i="42"/>
  <c r="AF4828" i="42"/>
  <c r="AF4827" i="42"/>
  <c r="AF4826" i="42"/>
  <c r="AF4825" i="42"/>
  <c r="AF4824" i="42"/>
  <c r="AF4823" i="42"/>
  <c r="AF4822" i="42"/>
  <c r="AF4821" i="42"/>
  <c r="AF4820" i="42"/>
  <c r="AF4819" i="42"/>
  <c r="AF4818" i="42"/>
  <c r="AF4817" i="42"/>
  <c r="AF4816" i="42"/>
  <c r="AF4815" i="42"/>
  <c r="AF4814" i="42"/>
  <c r="AF4813" i="42"/>
  <c r="AF4812" i="42"/>
  <c r="AF4811" i="42"/>
  <c r="AF4810" i="42"/>
  <c r="AF4809" i="42"/>
  <c r="AF4808" i="42"/>
  <c r="AF4807" i="42"/>
  <c r="AF4806" i="42"/>
  <c r="AF4805" i="42"/>
  <c r="AF4804" i="42"/>
  <c r="AF4803" i="42"/>
  <c r="AF4802" i="42"/>
  <c r="AF4801" i="42"/>
  <c r="AF4800" i="42"/>
  <c r="AF4799" i="42"/>
  <c r="AF4798" i="42"/>
  <c r="AF4797" i="42"/>
  <c r="AF4796" i="42"/>
  <c r="AF4795" i="42"/>
  <c r="AF4794" i="42"/>
  <c r="AF4793" i="42"/>
  <c r="AF4792" i="42"/>
  <c r="AF4791" i="42"/>
  <c r="AF4790" i="42"/>
  <c r="AF4789" i="42"/>
  <c r="AF4788" i="42"/>
  <c r="AF4787" i="42"/>
  <c r="AF4786" i="42"/>
  <c r="AF4785" i="42"/>
  <c r="AF4784" i="42"/>
  <c r="AF4783" i="42"/>
  <c r="AF4782" i="42"/>
  <c r="AF4781" i="42"/>
  <c r="AF4780" i="42"/>
  <c r="AF4779" i="42"/>
  <c r="AF4778" i="42"/>
  <c r="AF4777" i="42"/>
  <c r="AF4776" i="42"/>
  <c r="AF4775" i="42"/>
  <c r="AF4774" i="42"/>
  <c r="AF4773" i="42"/>
  <c r="AF4772" i="42"/>
  <c r="AF4771" i="42"/>
  <c r="AF4770" i="42"/>
  <c r="AF4769" i="42"/>
  <c r="AF4768" i="42"/>
  <c r="AF4767" i="42"/>
  <c r="AF4766" i="42"/>
  <c r="AF4765" i="42"/>
  <c r="AF4764" i="42"/>
  <c r="AF4763" i="42"/>
  <c r="AF4762" i="42"/>
  <c r="AF4761" i="42"/>
  <c r="AF4760" i="42"/>
  <c r="AF4759" i="42"/>
  <c r="AF4758" i="42"/>
  <c r="AF4757" i="42"/>
  <c r="AF4756" i="42"/>
  <c r="AF4755" i="42"/>
  <c r="AF4754" i="42"/>
  <c r="AF4753" i="42"/>
  <c r="AF4752" i="42"/>
  <c r="AF4751" i="42"/>
  <c r="AF4750" i="42"/>
  <c r="AF4749" i="42"/>
  <c r="AF4748" i="42"/>
  <c r="AF4747" i="42"/>
  <c r="AF4746" i="42"/>
  <c r="AF4745" i="42"/>
  <c r="AF4744" i="42"/>
  <c r="AF4743" i="42"/>
  <c r="AF4742" i="42"/>
  <c r="AF4741" i="42"/>
  <c r="AF4740" i="42"/>
  <c r="AF4739" i="42"/>
  <c r="AF4738" i="42"/>
  <c r="AF4737" i="42"/>
  <c r="AF4736" i="42"/>
  <c r="AF4735" i="42"/>
  <c r="AF4734" i="42"/>
  <c r="AF4733" i="42"/>
  <c r="AF4732" i="42"/>
  <c r="AF4731" i="42"/>
  <c r="AF4730" i="42"/>
  <c r="AF4729" i="42"/>
  <c r="AF4728" i="42"/>
  <c r="AF4727" i="42"/>
  <c r="AF4726" i="42"/>
  <c r="AF4725" i="42"/>
  <c r="AF4724" i="42"/>
  <c r="AF4723" i="42"/>
  <c r="AF4722" i="42"/>
  <c r="AF4721" i="42"/>
  <c r="AF4720" i="42"/>
  <c r="AF4719" i="42"/>
  <c r="AF4718" i="42"/>
  <c r="AF4717" i="42"/>
  <c r="AF4716" i="42"/>
  <c r="AF4715" i="42"/>
  <c r="AF4714" i="42"/>
  <c r="AF4713" i="42"/>
  <c r="AF4712" i="42"/>
  <c r="AF4711" i="42"/>
  <c r="AF4710" i="42"/>
  <c r="AF4709" i="42"/>
  <c r="AF4708" i="42"/>
  <c r="AF4707" i="42"/>
  <c r="AF4706" i="42"/>
  <c r="AF4705" i="42"/>
  <c r="AF4704" i="42"/>
  <c r="AF4703" i="42"/>
  <c r="AF4702" i="42"/>
  <c r="AF4701" i="42"/>
  <c r="AF4700" i="42"/>
  <c r="AF4699" i="42"/>
  <c r="AF4698" i="42"/>
  <c r="AF4697" i="42"/>
  <c r="AF4696" i="42"/>
  <c r="AF4695" i="42"/>
  <c r="AF4694" i="42"/>
  <c r="AF4693" i="42"/>
  <c r="AF4692" i="42"/>
  <c r="AF4691" i="42"/>
  <c r="AF4690" i="42"/>
  <c r="AF4689" i="42"/>
  <c r="AF4688" i="42"/>
  <c r="AF4687" i="42"/>
  <c r="AF4686" i="42"/>
  <c r="AF4685" i="42"/>
  <c r="AF4684" i="42"/>
  <c r="AF4683" i="42"/>
  <c r="AF4682" i="42"/>
  <c r="AF4681" i="42"/>
  <c r="AF4680" i="42"/>
  <c r="AF4679" i="42"/>
  <c r="AF4678" i="42"/>
  <c r="AF4677" i="42"/>
  <c r="AF4676" i="42"/>
  <c r="AF4675" i="42"/>
  <c r="AF4674" i="42"/>
  <c r="AF4673" i="42"/>
  <c r="AF4672" i="42"/>
  <c r="AF4671" i="42"/>
  <c r="AF4670" i="42"/>
  <c r="AF4669" i="42"/>
  <c r="AF4668" i="42"/>
  <c r="AF4667" i="42"/>
  <c r="AF4666" i="42"/>
  <c r="AF4665" i="42"/>
  <c r="AF4664" i="42"/>
  <c r="AF4663" i="42"/>
  <c r="AF4662" i="42"/>
  <c r="AF4661" i="42"/>
  <c r="AF4660" i="42"/>
  <c r="AF4659" i="42"/>
  <c r="AF4658" i="42"/>
  <c r="AF4657" i="42"/>
  <c r="AF4656" i="42"/>
  <c r="AF4655" i="42"/>
  <c r="AF4654" i="42"/>
  <c r="AF4653" i="42"/>
  <c r="AF4652" i="42"/>
  <c r="AF4651" i="42"/>
  <c r="AF4650" i="42"/>
  <c r="AF4649" i="42"/>
  <c r="AF4648" i="42"/>
  <c r="AF4647" i="42"/>
  <c r="AF4646" i="42"/>
  <c r="AF4645" i="42"/>
  <c r="AF4644" i="42"/>
  <c r="AF4643" i="42"/>
  <c r="AF4642" i="42"/>
  <c r="AF4641" i="42"/>
  <c r="AF4640" i="42"/>
  <c r="AF4639" i="42"/>
  <c r="AF4638" i="42"/>
  <c r="AF4637" i="42"/>
  <c r="AF4636" i="42"/>
  <c r="AF4635" i="42"/>
  <c r="AF4634" i="42"/>
  <c r="AF4633" i="42"/>
  <c r="AF4632" i="42"/>
  <c r="AF4631" i="42"/>
  <c r="AF4630" i="42"/>
  <c r="AF4629" i="42"/>
  <c r="AF4628" i="42"/>
  <c r="AF4627" i="42"/>
  <c r="AF4626" i="42"/>
  <c r="AF4625" i="42"/>
  <c r="AF4624" i="42"/>
  <c r="AF4623" i="42"/>
  <c r="AF4622" i="42"/>
  <c r="AF4621" i="42"/>
  <c r="AF4620" i="42"/>
  <c r="AF4619" i="42"/>
  <c r="AF4618" i="42"/>
  <c r="AF4617" i="42"/>
  <c r="AF4616" i="42"/>
  <c r="AF4615" i="42"/>
  <c r="AF4614" i="42"/>
  <c r="AF4613" i="42"/>
  <c r="AF4612" i="42"/>
  <c r="AF4611" i="42"/>
  <c r="AF4610" i="42"/>
  <c r="AF4609" i="42"/>
  <c r="AF4608" i="42"/>
  <c r="AF4607" i="42"/>
  <c r="AF4606" i="42"/>
  <c r="AF4605" i="42"/>
  <c r="AF4604" i="42"/>
  <c r="AF4603" i="42"/>
  <c r="AF4602" i="42"/>
  <c r="AF4601" i="42"/>
  <c r="AF4600" i="42"/>
  <c r="AF4599" i="42"/>
  <c r="AF4598" i="42"/>
  <c r="AF4597" i="42"/>
  <c r="AF4596" i="42"/>
  <c r="AF4595" i="42"/>
  <c r="AF4594" i="42"/>
  <c r="AF4593" i="42"/>
  <c r="AF4592" i="42"/>
  <c r="AF4591" i="42"/>
  <c r="AF4590" i="42"/>
  <c r="AF4589" i="42"/>
  <c r="AF4588" i="42"/>
  <c r="AF4587" i="42"/>
  <c r="AF4586" i="42"/>
  <c r="AF4585" i="42"/>
  <c r="AF4584" i="42"/>
  <c r="AF4583" i="42"/>
  <c r="AF4582" i="42"/>
  <c r="AF4581" i="42"/>
  <c r="AF4580" i="42"/>
  <c r="AF4579" i="42"/>
  <c r="AF4578" i="42"/>
  <c r="AF4577" i="42"/>
  <c r="AF4576" i="42"/>
  <c r="AF4575" i="42"/>
  <c r="AF4574" i="42"/>
  <c r="AF4573" i="42"/>
  <c r="AF4572" i="42"/>
  <c r="AF4571" i="42"/>
  <c r="AF4570" i="42"/>
  <c r="AF4569" i="42"/>
  <c r="AF4568" i="42"/>
  <c r="AF4567" i="42"/>
  <c r="AF4566" i="42"/>
  <c r="AF4565" i="42"/>
  <c r="AF4564" i="42"/>
  <c r="AF4563" i="42"/>
  <c r="AF4562" i="42"/>
  <c r="AF4561" i="42"/>
  <c r="AF4560" i="42"/>
  <c r="AF4559" i="42"/>
  <c r="AF4558" i="42"/>
  <c r="AF4557" i="42"/>
  <c r="AF4556" i="42"/>
  <c r="AF4555" i="42"/>
  <c r="AF4554" i="42"/>
  <c r="AF4553" i="42"/>
  <c r="AF4552" i="42"/>
  <c r="AF4551" i="42"/>
  <c r="AF4550" i="42"/>
  <c r="AF4549" i="42"/>
  <c r="AF4548" i="42"/>
  <c r="AF4547" i="42"/>
  <c r="AF4546" i="42"/>
  <c r="AF4545" i="42"/>
  <c r="AF4544" i="42"/>
  <c r="AF4543" i="42"/>
  <c r="AF4542" i="42"/>
  <c r="AF4541" i="42"/>
  <c r="AF4540" i="42"/>
  <c r="AF4539" i="42"/>
  <c r="AF4538" i="42"/>
  <c r="AF4537" i="42"/>
  <c r="AF4536" i="42"/>
  <c r="AF4535" i="42"/>
  <c r="AF4534" i="42"/>
  <c r="AF4533" i="42"/>
  <c r="AF4532" i="42"/>
  <c r="AF4531" i="42"/>
  <c r="AF4530" i="42"/>
  <c r="AF4529" i="42"/>
  <c r="AF4528" i="42"/>
  <c r="AF4527" i="42"/>
  <c r="AF4526" i="42"/>
  <c r="AF4525" i="42"/>
  <c r="AF4524" i="42"/>
  <c r="AF4523" i="42"/>
  <c r="AF4522" i="42"/>
  <c r="AF4521" i="42"/>
  <c r="AF4520" i="42"/>
  <c r="AF4519" i="42"/>
  <c r="AF4518" i="42"/>
  <c r="AF4517" i="42"/>
  <c r="AF4516" i="42"/>
  <c r="AF4515" i="42"/>
  <c r="AF4514" i="42"/>
  <c r="AF4513" i="42"/>
  <c r="AF4512" i="42"/>
  <c r="AF4511" i="42"/>
  <c r="AF4510" i="42"/>
  <c r="AF4509" i="42"/>
  <c r="AF4508" i="42"/>
  <c r="AF4507" i="42"/>
  <c r="AF4506" i="42"/>
  <c r="AF4505" i="42"/>
  <c r="AF4504" i="42"/>
  <c r="AF4503" i="42"/>
  <c r="AF4502" i="42"/>
  <c r="AF4501" i="42"/>
  <c r="AF4500" i="42"/>
  <c r="AF4499" i="42"/>
  <c r="AF4498" i="42"/>
  <c r="AF4497" i="42"/>
  <c r="AF4496" i="42"/>
  <c r="AF4495" i="42"/>
  <c r="AF4494" i="42"/>
  <c r="AF4493" i="42"/>
  <c r="AF4492" i="42"/>
  <c r="AF4491" i="42"/>
  <c r="AF4490" i="42"/>
  <c r="AF4489" i="42"/>
  <c r="AF4488" i="42"/>
  <c r="AF4487" i="42"/>
  <c r="AF4486" i="42"/>
  <c r="AF4485" i="42"/>
  <c r="AF4484" i="42"/>
  <c r="AF4483" i="42"/>
  <c r="AF4482" i="42"/>
  <c r="AF4481" i="42"/>
  <c r="AF4480" i="42"/>
  <c r="AF4479" i="42"/>
  <c r="AF4478" i="42"/>
  <c r="AF4477" i="42"/>
  <c r="AF4476" i="42"/>
  <c r="AF4475" i="42"/>
  <c r="AF4474" i="42"/>
  <c r="AF4473" i="42"/>
  <c r="AF4472" i="42"/>
  <c r="AF4471" i="42"/>
  <c r="AF4470" i="42"/>
  <c r="AF4469" i="42"/>
  <c r="AF4468" i="42"/>
  <c r="AF4467" i="42"/>
  <c r="AF4466" i="42"/>
  <c r="AF4465" i="42"/>
  <c r="AF4464" i="42"/>
  <c r="AF4463" i="42"/>
  <c r="AF4462" i="42"/>
  <c r="AF4461" i="42"/>
  <c r="AF4460" i="42"/>
  <c r="AF4459" i="42"/>
  <c r="AF4458" i="42"/>
  <c r="AF4457" i="42"/>
  <c r="AF4456" i="42"/>
  <c r="AF4455" i="42"/>
  <c r="AF4454" i="42"/>
  <c r="AF4453" i="42"/>
  <c r="AF4452" i="42"/>
  <c r="AF4451" i="42"/>
  <c r="AF4450" i="42"/>
  <c r="AF4449" i="42"/>
  <c r="AF4448" i="42"/>
  <c r="AF4447" i="42"/>
  <c r="AF4446" i="42"/>
  <c r="AF4445" i="42"/>
  <c r="AF4444" i="42"/>
  <c r="AF4443" i="42"/>
  <c r="AF4442" i="42"/>
  <c r="AF4441" i="42"/>
  <c r="AF4440" i="42"/>
  <c r="AF4439" i="42"/>
  <c r="AF4438" i="42"/>
  <c r="AF4437" i="42"/>
  <c r="AF4436" i="42"/>
  <c r="AF4435" i="42"/>
  <c r="AF4434" i="42"/>
  <c r="AF4433" i="42"/>
  <c r="AF4432" i="42"/>
  <c r="AF4431" i="42"/>
  <c r="AF4430" i="42"/>
  <c r="AF4429" i="42"/>
  <c r="AF4428" i="42"/>
  <c r="AF4427" i="42"/>
  <c r="AF4426" i="42"/>
  <c r="AF4425" i="42"/>
  <c r="AF4424" i="42"/>
  <c r="AF4423" i="42"/>
  <c r="AF4422" i="42"/>
  <c r="AF4421" i="42"/>
  <c r="AF4420" i="42"/>
  <c r="AF4419" i="42"/>
  <c r="AF4418" i="42"/>
  <c r="AF4417" i="42"/>
  <c r="AF4416" i="42"/>
  <c r="AF4415" i="42"/>
  <c r="AF4414" i="42"/>
  <c r="AF4413" i="42"/>
  <c r="AF4412" i="42"/>
  <c r="AF4411" i="42"/>
  <c r="AF4410" i="42"/>
  <c r="AF4409" i="42"/>
  <c r="AF4408" i="42"/>
  <c r="AF4407" i="42"/>
  <c r="AF4406" i="42"/>
  <c r="AF4405" i="42"/>
  <c r="AF4404" i="42"/>
  <c r="AF4403" i="42"/>
  <c r="AF4402" i="42"/>
  <c r="AF4401" i="42"/>
  <c r="AF4400" i="42"/>
  <c r="AF4399" i="42"/>
  <c r="AF4398" i="42"/>
  <c r="AF4397" i="42"/>
  <c r="AF4396" i="42"/>
  <c r="AF4395" i="42"/>
  <c r="AF4394" i="42"/>
  <c r="AF4393" i="42"/>
  <c r="AF4392" i="42"/>
  <c r="AF4391" i="42"/>
  <c r="AF4390" i="42"/>
  <c r="AF4389" i="42"/>
  <c r="AF4388" i="42"/>
  <c r="AF4387" i="42"/>
  <c r="AF4386" i="42"/>
  <c r="AF4385" i="42"/>
  <c r="AF4384" i="42"/>
  <c r="AF4383" i="42"/>
  <c r="AF4382" i="42"/>
  <c r="AF4381" i="42"/>
  <c r="AF4380" i="42"/>
  <c r="AF4379" i="42"/>
  <c r="AF4378" i="42"/>
  <c r="AF4377" i="42"/>
  <c r="AF4376" i="42"/>
  <c r="AF4375" i="42"/>
  <c r="AF4374" i="42"/>
  <c r="AF4373" i="42"/>
  <c r="AF4372" i="42"/>
  <c r="AF4371" i="42"/>
  <c r="AF4370" i="42"/>
  <c r="AF4369" i="42"/>
  <c r="AF4368" i="42"/>
  <c r="AF4367" i="42"/>
  <c r="AF4366" i="42"/>
  <c r="AF4365" i="42"/>
  <c r="AF4364" i="42"/>
  <c r="AF4363" i="42"/>
  <c r="AF4362" i="42"/>
  <c r="AF4361" i="42"/>
  <c r="AF4360" i="42"/>
  <c r="AF4359" i="42"/>
  <c r="AF4358" i="42"/>
  <c r="AF4357" i="42"/>
  <c r="AF4356" i="42"/>
  <c r="AF4355" i="42"/>
  <c r="AF4354" i="42"/>
  <c r="AF4353" i="42"/>
  <c r="AF4352" i="42"/>
  <c r="AF4351" i="42"/>
  <c r="AF4350" i="42"/>
  <c r="AF4349" i="42"/>
  <c r="AF4348" i="42"/>
  <c r="AF4347" i="42"/>
  <c r="AF4346" i="42"/>
  <c r="AF4345" i="42"/>
  <c r="AF4344" i="42"/>
  <c r="AF4343" i="42"/>
  <c r="AF4342" i="42"/>
  <c r="AF4341" i="42"/>
  <c r="AF4340" i="42"/>
  <c r="AF4339" i="42"/>
  <c r="AF4338" i="42"/>
  <c r="AF4337" i="42"/>
  <c r="AF4336" i="42"/>
  <c r="AF4335" i="42"/>
  <c r="AF4334" i="42"/>
  <c r="AF4333" i="42"/>
  <c r="AF4332" i="42"/>
  <c r="AF4331" i="42"/>
  <c r="AF4330" i="42"/>
  <c r="AF4329" i="42"/>
  <c r="AF4328" i="42"/>
  <c r="AF4327" i="42"/>
  <c r="AF4326" i="42"/>
  <c r="AF4325" i="42"/>
  <c r="AF4324" i="42"/>
  <c r="AF4323" i="42"/>
  <c r="AF4322" i="42"/>
  <c r="AF4321" i="42"/>
  <c r="AF4320" i="42"/>
  <c r="AF4319" i="42"/>
  <c r="AF4318" i="42"/>
  <c r="AF4317" i="42"/>
  <c r="AF4316" i="42"/>
  <c r="AF4315" i="42"/>
  <c r="AF4314" i="42"/>
  <c r="AF4313" i="42"/>
  <c r="AF4312" i="42"/>
  <c r="AF4311" i="42"/>
  <c r="AF4310" i="42"/>
  <c r="AF4309" i="42"/>
  <c r="AF4308" i="42"/>
  <c r="AF4307" i="42"/>
  <c r="AF4306" i="42"/>
  <c r="AF4305" i="42"/>
  <c r="AF4304" i="42"/>
  <c r="AF4303" i="42"/>
  <c r="AF4302" i="42"/>
  <c r="AF4301" i="42"/>
  <c r="AF4300" i="42"/>
  <c r="AF4299" i="42"/>
  <c r="AF4298" i="42"/>
  <c r="AF4297" i="42"/>
  <c r="AF4296" i="42"/>
  <c r="AF4295" i="42"/>
  <c r="AF4294" i="42"/>
  <c r="AF4293" i="42"/>
  <c r="AF4292" i="42"/>
  <c r="AF4291" i="42"/>
  <c r="AF4290" i="42"/>
  <c r="AF4289" i="42"/>
  <c r="AF4288" i="42"/>
  <c r="AF4287" i="42"/>
  <c r="AF4286" i="42"/>
  <c r="AF4285" i="42"/>
  <c r="AF4284" i="42"/>
  <c r="AF4283" i="42"/>
  <c r="AF4282" i="42"/>
  <c r="AF4281" i="42"/>
  <c r="AF4280" i="42"/>
  <c r="AF4279" i="42"/>
  <c r="AF4278" i="42"/>
  <c r="AF4277" i="42"/>
  <c r="AF4276" i="42"/>
  <c r="AF4275" i="42"/>
  <c r="AF4274" i="42"/>
  <c r="AF4273" i="42"/>
  <c r="AF4272" i="42"/>
  <c r="AF4271" i="42"/>
  <c r="AF4270" i="42"/>
  <c r="AF4269" i="42"/>
  <c r="AF4268" i="42"/>
  <c r="AF4267" i="42"/>
  <c r="AF4266" i="42"/>
  <c r="AF4265" i="42"/>
  <c r="AF4264" i="42"/>
  <c r="AF4263" i="42"/>
  <c r="AF4262" i="42"/>
  <c r="AF4261" i="42"/>
  <c r="AF4260" i="42"/>
  <c r="AF4259" i="42"/>
  <c r="AF4258" i="42"/>
  <c r="AF4257" i="42"/>
  <c r="AF4256" i="42"/>
  <c r="AF4255" i="42"/>
  <c r="AF4254" i="42"/>
  <c r="AF4253" i="42"/>
  <c r="AF4252" i="42"/>
  <c r="AF4251" i="42"/>
  <c r="AF4250" i="42"/>
  <c r="AF4249" i="42"/>
  <c r="AF4248" i="42"/>
  <c r="AF4247" i="42"/>
  <c r="AF4246" i="42"/>
  <c r="AF4245" i="42"/>
  <c r="AF4244" i="42"/>
  <c r="AF4243" i="42"/>
  <c r="AF4242" i="42"/>
  <c r="AF4241" i="42"/>
  <c r="AF4240" i="42"/>
  <c r="AF4239" i="42"/>
  <c r="AF4238" i="42"/>
  <c r="AF4237" i="42"/>
  <c r="AF4236" i="42"/>
  <c r="AF4235" i="42"/>
  <c r="AF4234" i="42"/>
  <c r="AF4233" i="42"/>
  <c r="AF4232" i="42"/>
  <c r="AF4231" i="42"/>
  <c r="AF4230" i="42"/>
  <c r="AF4229" i="42"/>
  <c r="AF4228" i="42"/>
  <c r="AF4227" i="42"/>
  <c r="AF4226" i="42"/>
  <c r="AF4225" i="42"/>
  <c r="AF4224" i="42"/>
  <c r="AF4223" i="42"/>
  <c r="AF4222" i="42"/>
  <c r="AF4221" i="42"/>
  <c r="AF4220" i="42"/>
  <c r="AF4219" i="42"/>
  <c r="AF4218" i="42"/>
  <c r="AF4217" i="42"/>
  <c r="AF4216" i="42"/>
  <c r="AF4215" i="42"/>
  <c r="AF4214" i="42"/>
  <c r="AF4213" i="42"/>
  <c r="AF4212" i="42"/>
  <c r="AF4211" i="42"/>
  <c r="AF4210" i="42"/>
  <c r="AF4209" i="42"/>
  <c r="AF4208" i="42"/>
  <c r="AF4207" i="42"/>
  <c r="AF4206" i="42"/>
  <c r="AF4205" i="42"/>
  <c r="AF4204" i="42"/>
  <c r="AF4203" i="42"/>
  <c r="AF4202" i="42"/>
  <c r="AF4201" i="42"/>
  <c r="AF4200" i="42"/>
  <c r="AF4199" i="42"/>
  <c r="AF4198" i="42"/>
  <c r="AF4197" i="42"/>
  <c r="AF4196" i="42"/>
  <c r="AF4195" i="42"/>
  <c r="AF4194" i="42"/>
  <c r="AF4193" i="42"/>
  <c r="AF4192" i="42"/>
  <c r="AF4191" i="42"/>
  <c r="AF4190" i="42"/>
  <c r="AF4189" i="42"/>
  <c r="AF4188" i="42"/>
  <c r="AF4187" i="42"/>
  <c r="AF4186" i="42"/>
  <c r="AF4185" i="42"/>
  <c r="AF4184" i="42"/>
  <c r="AF4183" i="42"/>
  <c r="AF4182" i="42"/>
  <c r="AF4181" i="42"/>
  <c r="AF4180" i="42"/>
  <c r="AF4179" i="42"/>
  <c r="AF4178" i="42"/>
  <c r="AF4177" i="42"/>
  <c r="AF4176" i="42"/>
  <c r="AF4175" i="42"/>
  <c r="AF4174" i="42"/>
  <c r="AF4173" i="42"/>
  <c r="AF4172" i="42"/>
  <c r="AF4171" i="42"/>
  <c r="AF4170" i="42"/>
  <c r="AF4169" i="42"/>
  <c r="AF4168" i="42"/>
  <c r="AF4167" i="42"/>
  <c r="AF4166" i="42"/>
  <c r="AF4165" i="42"/>
  <c r="AF4164" i="42"/>
  <c r="AF4163" i="42"/>
  <c r="AF4162" i="42"/>
  <c r="AF4161" i="42"/>
  <c r="AF4160" i="42"/>
  <c r="AF4159" i="42"/>
  <c r="AF4158" i="42"/>
  <c r="AF4157" i="42"/>
  <c r="AF4156" i="42"/>
  <c r="AF4155" i="42"/>
  <c r="AF4154" i="42"/>
  <c r="AF4153" i="42"/>
  <c r="AF4152" i="42"/>
  <c r="AF4151" i="42"/>
  <c r="AF4150" i="42"/>
  <c r="AF4149" i="42"/>
  <c r="AF4148" i="42"/>
  <c r="AF4147" i="42"/>
  <c r="AF4146" i="42"/>
  <c r="AF4145" i="42"/>
  <c r="AF4144" i="42"/>
  <c r="AF4143" i="42"/>
  <c r="AF4142" i="42"/>
  <c r="AF4141" i="42"/>
  <c r="AF4140" i="42"/>
  <c r="AF4139" i="42"/>
  <c r="AF4138" i="42"/>
  <c r="AF4137" i="42"/>
  <c r="AF4136" i="42"/>
  <c r="AF4135" i="42"/>
  <c r="AF4134" i="42"/>
  <c r="AF4133" i="42"/>
  <c r="AF4132" i="42"/>
  <c r="AF4131" i="42"/>
  <c r="AF4130" i="42"/>
  <c r="AF4129" i="42"/>
  <c r="AF4128" i="42"/>
  <c r="AF4127" i="42"/>
  <c r="AF4126" i="42"/>
  <c r="AF4125" i="42"/>
  <c r="AF4124" i="42"/>
  <c r="AF4123" i="42"/>
  <c r="AF4122" i="42"/>
  <c r="AF4121" i="42"/>
  <c r="AF4120" i="42"/>
  <c r="AF4119" i="42"/>
  <c r="AF4118" i="42"/>
  <c r="AF4117" i="42"/>
  <c r="AF4116" i="42"/>
  <c r="AF4115" i="42"/>
  <c r="AF4114" i="42"/>
  <c r="AF4113" i="42"/>
  <c r="AF4112" i="42"/>
  <c r="AF4111" i="42"/>
  <c r="AF4110" i="42"/>
  <c r="AF4109" i="42"/>
  <c r="AF4108" i="42"/>
  <c r="AF4107" i="42"/>
  <c r="AF4106" i="42"/>
  <c r="AF4105" i="42"/>
  <c r="AF4104" i="42"/>
  <c r="AF4103" i="42"/>
  <c r="AF4102" i="42"/>
  <c r="AF4101" i="42"/>
  <c r="AF4100" i="42"/>
  <c r="AF4099" i="42"/>
  <c r="AF4098" i="42"/>
  <c r="AF4097" i="42"/>
  <c r="AF4096" i="42"/>
  <c r="AF4095" i="42"/>
  <c r="AF4094" i="42"/>
  <c r="AF4093" i="42"/>
  <c r="AF4092" i="42"/>
  <c r="AF4091" i="42"/>
  <c r="AF4090" i="42"/>
  <c r="AF4089" i="42"/>
  <c r="AF4088" i="42"/>
  <c r="AF4087" i="42"/>
  <c r="AF4086" i="42"/>
  <c r="AF4085" i="42"/>
  <c r="AF4084" i="42"/>
  <c r="AF4083" i="42"/>
  <c r="AF4082" i="42"/>
  <c r="AF4081" i="42"/>
  <c r="AF4080" i="42"/>
  <c r="AF4079" i="42"/>
  <c r="AF4078" i="42"/>
  <c r="AF4077" i="42"/>
  <c r="AF4076" i="42"/>
  <c r="AF4075" i="42"/>
  <c r="AF4074" i="42"/>
  <c r="AF4073" i="42"/>
  <c r="AF4072" i="42"/>
  <c r="AF4071" i="42"/>
  <c r="AF4070" i="42"/>
  <c r="AF4069" i="42"/>
  <c r="AF4068" i="42"/>
  <c r="AF4067" i="42"/>
  <c r="AF4066" i="42"/>
  <c r="AF4065" i="42"/>
  <c r="AF4064" i="42"/>
  <c r="AF4063" i="42"/>
  <c r="AF4062" i="42"/>
  <c r="AF4061" i="42"/>
  <c r="AF4060" i="42"/>
  <c r="AF4059" i="42"/>
  <c r="AF4058" i="42"/>
  <c r="AF4057" i="42"/>
  <c r="AF4056" i="42"/>
  <c r="AF4055" i="42"/>
  <c r="AF4054" i="42"/>
  <c r="AF4053" i="42"/>
  <c r="AF4052" i="42"/>
  <c r="AF4051" i="42"/>
  <c r="AF4050" i="42"/>
  <c r="AF4049" i="42"/>
  <c r="AF4048" i="42"/>
  <c r="AF4047" i="42"/>
  <c r="AF4046" i="42"/>
  <c r="AF4045" i="42"/>
  <c r="AF4044" i="42"/>
  <c r="AF4043" i="42"/>
  <c r="AF4042" i="42"/>
  <c r="AF4041" i="42"/>
  <c r="AF4040" i="42"/>
  <c r="AF4039" i="42"/>
  <c r="AF4038" i="42"/>
  <c r="AF4037" i="42"/>
  <c r="AF4036" i="42"/>
  <c r="AF4035" i="42"/>
  <c r="AF4034" i="42"/>
  <c r="AF4033" i="42"/>
  <c r="AF4032" i="42"/>
  <c r="AF4031" i="42"/>
  <c r="AF4030" i="42"/>
  <c r="AF4029" i="42"/>
  <c r="AF4028" i="42"/>
  <c r="AF4027" i="42"/>
  <c r="AF4026" i="42"/>
  <c r="AF4025" i="42"/>
  <c r="AF4024" i="42"/>
  <c r="AF4023" i="42"/>
  <c r="AF4022" i="42"/>
  <c r="AF4021" i="42"/>
  <c r="AF4020" i="42"/>
  <c r="AF4019" i="42"/>
  <c r="AF4018" i="42"/>
  <c r="AF4017" i="42"/>
  <c r="AF4016" i="42"/>
  <c r="AF4015" i="42"/>
  <c r="AF4014" i="42"/>
  <c r="AF4013" i="42"/>
  <c r="AF4012" i="42"/>
  <c r="AF4011" i="42"/>
  <c r="AF4010" i="42"/>
  <c r="AF4009" i="42"/>
  <c r="AF4008" i="42"/>
  <c r="AF4007" i="42"/>
  <c r="AF4006" i="42"/>
  <c r="AF4005" i="42"/>
  <c r="AF4004" i="42"/>
  <c r="AF4003" i="42"/>
  <c r="AF4002" i="42"/>
  <c r="AF4001" i="42"/>
  <c r="AF4000" i="42"/>
  <c r="AF3999" i="42"/>
  <c r="AF3998" i="42"/>
  <c r="AF3997" i="42"/>
  <c r="AF3996" i="42"/>
  <c r="AF3995" i="42"/>
  <c r="AF3994" i="42"/>
  <c r="AF3993" i="42"/>
  <c r="AF3992" i="42"/>
  <c r="AF3991" i="42"/>
  <c r="AF3990" i="42"/>
  <c r="AF3989" i="42"/>
  <c r="AF3988" i="42"/>
  <c r="AF3987" i="42"/>
  <c r="AF3986" i="42"/>
  <c r="AF3985" i="42"/>
  <c r="AF3984" i="42"/>
  <c r="AF3983" i="42"/>
  <c r="AF3982" i="42"/>
  <c r="AF3981" i="42"/>
  <c r="AF3980" i="42"/>
  <c r="AF3979" i="42"/>
  <c r="AF3978" i="42"/>
  <c r="AF3977" i="42"/>
  <c r="AF3976" i="42"/>
  <c r="AF3975" i="42"/>
  <c r="AF3974" i="42"/>
  <c r="AF3973" i="42"/>
  <c r="AF3972" i="42"/>
  <c r="AF3971" i="42"/>
  <c r="AF3970" i="42"/>
  <c r="AF3969" i="42"/>
  <c r="AF3968" i="42"/>
  <c r="AF3967" i="42"/>
  <c r="AF3966" i="42"/>
  <c r="AF3965" i="42"/>
  <c r="AF3964" i="42"/>
  <c r="AF3963" i="42"/>
  <c r="AF3962" i="42"/>
  <c r="AF3961" i="42"/>
  <c r="AF3960" i="42"/>
  <c r="AF3959" i="42"/>
  <c r="AF3958" i="42"/>
  <c r="AF3957" i="42"/>
  <c r="AF3956" i="42"/>
  <c r="AF3955" i="42"/>
  <c r="AF3954" i="42"/>
  <c r="AF3953" i="42"/>
  <c r="AF3952" i="42"/>
  <c r="AF3951" i="42"/>
  <c r="AF3950" i="42"/>
  <c r="AF3949" i="42"/>
  <c r="AF3948" i="42"/>
  <c r="AF3947" i="42"/>
  <c r="AF3946" i="42"/>
  <c r="AF3945" i="42"/>
  <c r="AF3944" i="42"/>
  <c r="AF3943" i="42"/>
  <c r="AF3942" i="42"/>
  <c r="AF3941" i="42"/>
  <c r="AF3940" i="42"/>
  <c r="AF3939" i="42"/>
  <c r="AF3938" i="42"/>
  <c r="AF3937" i="42"/>
  <c r="AF3936" i="42"/>
  <c r="AF3935" i="42"/>
  <c r="AF3934" i="42"/>
  <c r="AF3933" i="42"/>
  <c r="AF3932" i="42"/>
  <c r="AF3931" i="42"/>
  <c r="AF3930" i="42"/>
  <c r="AF3929" i="42"/>
  <c r="AF3928" i="42"/>
  <c r="AF3927" i="42"/>
  <c r="AF3926" i="42"/>
  <c r="AF3925" i="42"/>
  <c r="AF3924" i="42"/>
  <c r="AF3923" i="42"/>
  <c r="AF3922" i="42"/>
  <c r="AF3921" i="42"/>
  <c r="AF3920" i="42"/>
  <c r="AF3919" i="42"/>
  <c r="AF3918" i="42"/>
  <c r="AF3917" i="42"/>
  <c r="AF3916" i="42"/>
  <c r="AF3915" i="42"/>
  <c r="AF3914" i="42"/>
  <c r="AF3913" i="42"/>
  <c r="AF3912" i="42"/>
  <c r="AF3911" i="42"/>
  <c r="AF3910" i="42"/>
  <c r="AF3909" i="42"/>
  <c r="AF3908" i="42"/>
  <c r="AF3907" i="42"/>
  <c r="AF3906" i="42"/>
  <c r="AF3905" i="42"/>
  <c r="AF3904" i="42"/>
  <c r="AF3903" i="42"/>
  <c r="AF3902" i="42"/>
  <c r="AF3901" i="42"/>
  <c r="AF3900" i="42"/>
  <c r="AF3899" i="42"/>
  <c r="AF3898" i="42"/>
  <c r="AF3897" i="42"/>
  <c r="AF3896" i="42"/>
  <c r="AF3895" i="42"/>
  <c r="AF3894" i="42"/>
  <c r="AF3893" i="42"/>
  <c r="AF3892" i="42"/>
  <c r="AF3891" i="42"/>
  <c r="AF3890" i="42"/>
  <c r="AF3889" i="42"/>
  <c r="AF3888" i="42"/>
  <c r="AF3887" i="42"/>
  <c r="AF3886" i="42"/>
  <c r="AF3885" i="42"/>
  <c r="AF3884" i="42"/>
  <c r="AF3883" i="42"/>
  <c r="AF3882" i="42"/>
  <c r="AF3881" i="42"/>
  <c r="AF3880" i="42"/>
  <c r="AF3879" i="42"/>
  <c r="AF3878" i="42"/>
  <c r="AF3877" i="42"/>
  <c r="AF3876" i="42"/>
  <c r="AF3875" i="42"/>
  <c r="AF3874" i="42"/>
  <c r="AF3873" i="42"/>
  <c r="AF3872" i="42"/>
  <c r="AF3871" i="42"/>
  <c r="AF3870" i="42"/>
  <c r="AF3869" i="42"/>
  <c r="AF3868" i="42"/>
  <c r="AF3867" i="42"/>
  <c r="AF3866" i="42"/>
  <c r="AF3865" i="42"/>
  <c r="AF3864" i="42"/>
  <c r="AF3863" i="42"/>
  <c r="AF3862" i="42"/>
  <c r="AF3861" i="42"/>
  <c r="AF3860" i="42"/>
  <c r="AF3859" i="42"/>
  <c r="AF3858" i="42"/>
  <c r="AF3857" i="42"/>
  <c r="AF3856" i="42"/>
  <c r="AF3855" i="42"/>
  <c r="AF3854" i="42"/>
  <c r="AF3853" i="42"/>
  <c r="AF3852" i="42"/>
  <c r="AF3851" i="42"/>
  <c r="AF3850" i="42"/>
  <c r="AF3849" i="42"/>
  <c r="AF3848" i="42"/>
  <c r="AF3847" i="42"/>
  <c r="AF3846" i="42"/>
  <c r="AF3845" i="42"/>
  <c r="AF3844" i="42"/>
  <c r="AF3843" i="42"/>
  <c r="AF3842" i="42"/>
  <c r="AF3841" i="42"/>
  <c r="AF3840" i="42"/>
  <c r="AF3839" i="42"/>
  <c r="AF3838" i="42"/>
  <c r="AF3837" i="42"/>
  <c r="AF3836" i="42"/>
  <c r="AF3835" i="42"/>
  <c r="AF3834" i="42"/>
  <c r="AF3833" i="42"/>
  <c r="AF3832" i="42"/>
  <c r="AF3831" i="42"/>
  <c r="AF3830" i="42"/>
  <c r="AF3829" i="42"/>
  <c r="AF3828" i="42"/>
  <c r="AF3827" i="42"/>
  <c r="AF3826" i="42"/>
  <c r="AF3825" i="42"/>
  <c r="AF3824" i="42"/>
  <c r="AF3823" i="42"/>
  <c r="AF3822" i="42"/>
  <c r="AF3821" i="42"/>
  <c r="AF3820" i="42"/>
  <c r="AF3819" i="42"/>
  <c r="AF3818" i="42"/>
  <c r="AF3817" i="42"/>
  <c r="AF3816" i="42"/>
  <c r="AF3815" i="42"/>
  <c r="AF3814" i="42"/>
  <c r="AF3813" i="42"/>
  <c r="AF3812" i="42"/>
  <c r="AF3811" i="42"/>
  <c r="AF3810" i="42"/>
  <c r="AF3809" i="42"/>
  <c r="AF3808" i="42"/>
  <c r="AF3807" i="42"/>
  <c r="AF3806" i="42"/>
  <c r="AF3805" i="42"/>
  <c r="AF3804" i="42"/>
  <c r="AF3803" i="42"/>
  <c r="AF3802" i="42"/>
  <c r="AF3801" i="42"/>
  <c r="AF3800" i="42"/>
  <c r="AF3799" i="42"/>
  <c r="AF3798" i="42"/>
  <c r="AF3797" i="42"/>
  <c r="AF3796" i="42"/>
  <c r="AF3795" i="42"/>
  <c r="AF3794" i="42"/>
  <c r="AF3793" i="42"/>
  <c r="AF3792" i="42"/>
  <c r="AF3791" i="42"/>
  <c r="AF3790" i="42"/>
  <c r="AF3789" i="42"/>
  <c r="AF3788" i="42"/>
  <c r="AF3787" i="42"/>
  <c r="AF3786" i="42"/>
  <c r="AF3785" i="42"/>
  <c r="AF3784" i="42"/>
  <c r="AF3783" i="42"/>
  <c r="AF3782" i="42"/>
  <c r="AF3781" i="42"/>
  <c r="AF3780" i="42"/>
  <c r="AF3779" i="42"/>
  <c r="AF3778" i="42"/>
  <c r="AF3777" i="42"/>
  <c r="AF3776" i="42"/>
  <c r="AF3775" i="42"/>
  <c r="AF3774" i="42"/>
  <c r="AF3773" i="42"/>
  <c r="AF3772" i="42"/>
  <c r="AF3771" i="42"/>
  <c r="AF3770" i="42"/>
  <c r="AF3769" i="42"/>
  <c r="AF3768" i="42"/>
  <c r="AF3767" i="42"/>
  <c r="AF3766" i="42"/>
  <c r="AF3765" i="42"/>
  <c r="AF3764" i="42"/>
  <c r="AF3763" i="42"/>
  <c r="AF3762" i="42"/>
  <c r="AF3761" i="42"/>
  <c r="AF3760" i="42"/>
  <c r="AF3759" i="42"/>
  <c r="AF3758" i="42"/>
  <c r="AF3757" i="42"/>
  <c r="AF3756" i="42"/>
  <c r="AF3755" i="42"/>
  <c r="AF3754" i="42"/>
  <c r="AF3753" i="42"/>
  <c r="AF3752" i="42"/>
  <c r="AF3751" i="42"/>
  <c r="AF3750" i="42"/>
  <c r="AF3749" i="42"/>
  <c r="AF3748" i="42"/>
  <c r="AF3747" i="42"/>
  <c r="AF3746" i="42"/>
  <c r="AF3745" i="42"/>
  <c r="AF3744" i="42"/>
  <c r="AF3743" i="42"/>
  <c r="AF3742" i="42"/>
  <c r="AF3741" i="42"/>
  <c r="AF3740" i="42"/>
  <c r="AF3739" i="42"/>
  <c r="AF3738" i="42"/>
  <c r="AF3737" i="42"/>
  <c r="AF3736" i="42"/>
  <c r="AF3735" i="42"/>
  <c r="AF3734" i="42"/>
  <c r="AF3733" i="42"/>
  <c r="AF3732" i="42"/>
  <c r="AF3731" i="42"/>
  <c r="AF3730" i="42"/>
  <c r="AF3729" i="42"/>
  <c r="AF3728" i="42"/>
  <c r="AF3727" i="42"/>
  <c r="AF3726" i="42"/>
  <c r="AF3725" i="42"/>
  <c r="AF3724" i="42"/>
  <c r="AF3723" i="42"/>
  <c r="AF3722" i="42"/>
  <c r="AF3721" i="42"/>
  <c r="AF3720" i="42"/>
  <c r="AF3719" i="42"/>
  <c r="AF3718" i="42"/>
  <c r="AF3717" i="42"/>
  <c r="AF3716" i="42"/>
  <c r="AF3715" i="42"/>
  <c r="AF3714" i="42"/>
  <c r="AF3713" i="42"/>
  <c r="AF3712" i="42"/>
  <c r="AF3711" i="42"/>
  <c r="AF3710" i="42"/>
  <c r="AF3709" i="42"/>
  <c r="AF3708" i="42"/>
  <c r="AF3707" i="42"/>
  <c r="AF3706" i="42"/>
  <c r="AF3705" i="42"/>
  <c r="AF3704" i="42"/>
  <c r="AF3703" i="42"/>
  <c r="AF3702" i="42"/>
  <c r="AF3701" i="42"/>
  <c r="AF3700" i="42"/>
  <c r="AF3699" i="42"/>
  <c r="AF3698" i="42"/>
  <c r="AF3697" i="42"/>
  <c r="AF3696" i="42"/>
  <c r="AF3695" i="42"/>
  <c r="AF3694" i="42"/>
  <c r="AF3693" i="42"/>
  <c r="AF3692" i="42"/>
  <c r="AF3691" i="42"/>
  <c r="AF3690" i="42"/>
  <c r="AF3689" i="42"/>
  <c r="AF3688" i="42"/>
  <c r="AF3687" i="42"/>
  <c r="AF3686" i="42"/>
  <c r="AF3685" i="42"/>
  <c r="AF3684" i="42"/>
  <c r="AF3683" i="42"/>
  <c r="AF3682" i="42"/>
  <c r="AF3681" i="42"/>
  <c r="AF3680" i="42"/>
  <c r="AF3679" i="42"/>
  <c r="AF3678" i="42"/>
  <c r="AF3677" i="42"/>
  <c r="AF3676" i="42"/>
  <c r="AF3675" i="42"/>
  <c r="AF3674" i="42"/>
  <c r="AF3673" i="42"/>
  <c r="AF3672" i="42"/>
  <c r="AF3671" i="42"/>
  <c r="AF3670" i="42"/>
  <c r="AF3669" i="42"/>
  <c r="AF3668" i="42"/>
  <c r="AF3667" i="42"/>
  <c r="AF3666" i="42"/>
  <c r="AF3665" i="42"/>
  <c r="AF3664" i="42"/>
  <c r="AF3663" i="42"/>
  <c r="AF3662" i="42"/>
  <c r="AF3661" i="42"/>
  <c r="AF3660" i="42"/>
  <c r="AF3659" i="42"/>
  <c r="AF3658" i="42"/>
  <c r="AF3657" i="42"/>
  <c r="AF3656" i="42"/>
  <c r="AF3655" i="42"/>
  <c r="AF3654" i="42"/>
  <c r="AF3653" i="42"/>
  <c r="AF3652" i="42"/>
  <c r="AF3651" i="42"/>
  <c r="AF3650" i="42"/>
  <c r="AF3649" i="42"/>
  <c r="AF3648" i="42"/>
  <c r="AF3647" i="42"/>
  <c r="AF3646" i="42"/>
  <c r="AF3645" i="42"/>
  <c r="AF3644" i="42"/>
  <c r="AF3643" i="42"/>
  <c r="AF3642" i="42"/>
  <c r="AF3641" i="42"/>
  <c r="AF3640" i="42"/>
  <c r="AF3639" i="42"/>
  <c r="AF3638" i="42"/>
  <c r="AF3637" i="42"/>
  <c r="AF3636" i="42"/>
  <c r="AF3635" i="42"/>
  <c r="AF3634" i="42"/>
  <c r="AF3633" i="42"/>
  <c r="AF3632" i="42"/>
  <c r="AF3631" i="42"/>
  <c r="AF3630" i="42"/>
  <c r="AF3629" i="42"/>
  <c r="AF3628" i="42"/>
  <c r="AF3627" i="42"/>
  <c r="AF3626" i="42"/>
  <c r="AF3625" i="42"/>
  <c r="AF3624" i="42"/>
  <c r="AF3623" i="42"/>
  <c r="AF3622" i="42"/>
  <c r="AF3621" i="42"/>
  <c r="AF3620" i="42"/>
  <c r="AF3619" i="42"/>
  <c r="AF3618" i="42"/>
  <c r="AF3617" i="42"/>
  <c r="AF3616" i="42"/>
  <c r="AF3615" i="42"/>
  <c r="AF3614" i="42"/>
  <c r="AF3613" i="42"/>
  <c r="AF3612" i="42"/>
  <c r="AF3611" i="42"/>
  <c r="AF3610" i="42"/>
  <c r="AF3609" i="42"/>
  <c r="AF3608" i="42"/>
  <c r="AF3607" i="42"/>
  <c r="AF3606" i="42"/>
  <c r="AF3605" i="42"/>
  <c r="AF3604" i="42"/>
  <c r="AF3603" i="42"/>
  <c r="AF3602" i="42"/>
  <c r="AF3601" i="42"/>
  <c r="AF3600" i="42"/>
  <c r="AF3599" i="42"/>
  <c r="AF3598" i="42"/>
  <c r="AF3597" i="42"/>
  <c r="AF3596" i="42"/>
  <c r="AF3595" i="42"/>
  <c r="AF3594" i="42"/>
  <c r="AF3593" i="42"/>
  <c r="AF3592" i="42"/>
  <c r="AF3591" i="42"/>
  <c r="AF3590" i="42"/>
  <c r="AF3589" i="42"/>
  <c r="AF3588" i="42"/>
  <c r="AF3587" i="42"/>
  <c r="AF3586" i="42"/>
  <c r="AF3585" i="42"/>
  <c r="AF3584" i="42"/>
  <c r="AF3583" i="42"/>
  <c r="AF3582" i="42"/>
  <c r="AF3581" i="42"/>
  <c r="AF3580" i="42"/>
  <c r="AF3579" i="42"/>
  <c r="AF3578" i="42"/>
  <c r="AF3577" i="42"/>
  <c r="AF3576" i="42"/>
  <c r="AF3575" i="42"/>
  <c r="AF3574" i="42"/>
  <c r="AF3573" i="42"/>
  <c r="AF3572" i="42"/>
  <c r="AF3571" i="42"/>
  <c r="AF3570" i="42"/>
  <c r="AF3569" i="42"/>
  <c r="AF3568" i="42"/>
  <c r="AF3567" i="42"/>
  <c r="AF3566" i="42"/>
  <c r="AF3565" i="42"/>
  <c r="AF3564" i="42"/>
  <c r="AF3563" i="42"/>
  <c r="AF3562" i="42"/>
  <c r="AF3561" i="42"/>
  <c r="AF3560" i="42"/>
  <c r="AF3559" i="42"/>
  <c r="AF3558" i="42"/>
  <c r="AF3557" i="42"/>
  <c r="AF3556" i="42"/>
  <c r="AF3555" i="42"/>
  <c r="AF3554" i="42"/>
  <c r="AF3553" i="42"/>
  <c r="AF3552" i="42"/>
  <c r="AF3551" i="42"/>
  <c r="AF3550" i="42"/>
  <c r="AF3549" i="42"/>
  <c r="AF3548" i="42"/>
  <c r="AF3547" i="42"/>
  <c r="AF3546" i="42"/>
  <c r="AF3545" i="42"/>
  <c r="AF3544" i="42"/>
  <c r="AF3543" i="42"/>
  <c r="AF3542" i="42"/>
  <c r="AF3541" i="42"/>
  <c r="AF3540" i="42"/>
  <c r="AF3539" i="42"/>
  <c r="AF3538" i="42"/>
  <c r="AF3537" i="42"/>
  <c r="AF3536" i="42"/>
  <c r="AF3535" i="42"/>
  <c r="AF3534" i="42"/>
  <c r="AF3533" i="42"/>
  <c r="AF3532" i="42"/>
  <c r="AF3531" i="42"/>
  <c r="AF3530" i="42"/>
  <c r="AF3529" i="42"/>
  <c r="AF3528" i="42"/>
  <c r="AF3527" i="42"/>
  <c r="AF3526" i="42"/>
  <c r="AF3525" i="42"/>
  <c r="AF3524" i="42"/>
  <c r="AF3523" i="42"/>
  <c r="AF3522" i="42"/>
  <c r="AF3521" i="42"/>
  <c r="AF3520" i="42"/>
  <c r="AF3519" i="42"/>
  <c r="AF3518" i="42"/>
  <c r="AF3517" i="42"/>
  <c r="AF3516" i="42"/>
  <c r="AF3515" i="42"/>
  <c r="AF3514" i="42"/>
  <c r="AF3513" i="42"/>
  <c r="AF3512" i="42"/>
  <c r="AF3511" i="42"/>
  <c r="AF3510" i="42"/>
  <c r="AF3509" i="42"/>
  <c r="AF3508" i="42"/>
  <c r="AF3507" i="42"/>
  <c r="AF3506" i="42"/>
  <c r="AF3505" i="42"/>
  <c r="AF3504" i="42"/>
  <c r="AF3503" i="42"/>
  <c r="AF3502" i="42"/>
  <c r="AF3501" i="42"/>
  <c r="AF3500" i="42"/>
  <c r="AF3499" i="42"/>
  <c r="AF3498" i="42"/>
  <c r="AF3497" i="42"/>
  <c r="AF3496" i="42"/>
  <c r="AF3495" i="42"/>
  <c r="AF3494" i="42"/>
  <c r="AF3493" i="42"/>
  <c r="AF3492" i="42"/>
  <c r="AF3491" i="42"/>
  <c r="AF3490" i="42"/>
  <c r="AF3489" i="42"/>
  <c r="AF3488" i="42"/>
  <c r="AF3487" i="42"/>
  <c r="AF3486" i="42"/>
  <c r="AF3485" i="42"/>
  <c r="AF3484" i="42"/>
  <c r="AF3483" i="42"/>
  <c r="AF3482" i="42"/>
  <c r="AF3481" i="42"/>
  <c r="AF3480" i="42"/>
  <c r="AF3479" i="42"/>
  <c r="AF3478" i="42"/>
  <c r="AF3477" i="42"/>
  <c r="AF3476" i="42"/>
  <c r="AF3475" i="42"/>
  <c r="AF3474" i="42"/>
  <c r="AF3473" i="42"/>
  <c r="AF3472" i="42"/>
  <c r="AF3471" i="42"/>
  <c r="AF3470" i="42"/>
  <c r="AF3469" i="42"/>
  <c r="AF3468" i="42"/>
  <c r="AF3467" i="42"/>
  <c r="AF3466" i="42"/>
  <c r="AF3465" i="42"/>
  <c r="AF3464" i="42"/>
  <c r="AF3463" i="42"/>
  <c r="AF3462" i="42"/>
  <c r="AF3461" i="42"/>
  <c r="AF3460" i="42"/>
  <c r="AF3459" i="42"/>
  <c r="AF3458" i="42"/>
  <c r="AF3457" i="42"/>
  <c r="AF3456" i="42"/>
  <c r="AF3455" i="42"/>
  <c r="AF3454" i="42"/>
  <c r="AF3453" i="42"/>
  <c r="AF3452" i="42"/>
  <c r="AF3451" i="42"/>
  <c r="AF3450" i="42"/>
  <c r="AF3449" i="42"/>
  <c r="AF3448" i="42"/>
  <c r="AF3447" i="42"/>
  <c r="AF3446" i="42"/>
  <c r="AF3445" i="42"/>
  <c r="AF3444" i="42"/>
  <c r="AF3443" i="42"/>
  <c r="AF3442" i="42"/>
  <c r="AF3441" i="42"/>
  <c r="AF3440" i="42"/>
  <c r="AF3439" i="42"/>
  <c r="AF3438" i="42"/>
  <c r="AF3437" i="42"/>
  <c r="AF3436" i="42"/>
  <c r="AF3435" i="42"/>
  <c r="AF3434" i="42"/>
  <c r="AF3433" i="42"/>
  <c r="AF3432" i="42"/>
  <c r="AF3431" i="42"/>
  <c r="AF3430" i="42"/>
  <c r="AF3429" i="42"/>
  <c r="AF3428" i="42"/>
  <c r="AF3427" i="42"/>
  <c r="AF3426" i="42"/>
  <c r="AF3425" i="42"/>
  <c r="AF3424" i="42"/>
  <c r="AF3423" i="42"/>
  <c r="AF3422" i="42"/>
  <c r="AF3421" i="42"/>
  <c r="AF3420" i="42"/>
  <c r="AF3419" i="42"/>
  <c r="AF3418" i="42"/>
  <c r="AF3417" i="42"/>
  <c r="AF3416" i="42"/>
  <c r="AF3415" i="42"/>
  <c r="AF3414" i="42"/>
  <c r="AF3413" i="42"/>
  <c r="AF3412" i="42"/>
  <c r="AF3411" i="42"/>
  <c r="AF3410" i="42"/>
  <c r="AF3409" i="42"/>
  <c r="AF3408" i="42"/>
  <c r="AF3407" i="42"/>
  <c r="AF3406" i="42"/>
  <c r="AF3405" i="42"/>
  <c r="AF3404" i="42"/>
  <c r="AF3403" i="42"/>
  <c r="AF3402" i="42"/>
  <c r="AF3401" i="42"/>
  <c r="AF3400" i="42"/>
  <c r="AF3399" i="42"/>
  <c r="AF3398" i="42"/>
  <c r="AF3397" i="42"/>
  <c r="AF3396" i="42"/>
  <c r="AF3395" i="42"/>
  <c r="AF3394" i="42"/>
  <c r="AF3393" i="42"/>
  <c r="AF3392" i="42"/>
  <c r="AF3391" i="42"/>
  <c r="AF3390" i="42"/>
  <c r="AF3389" i="42"/>
  <c r="AF3388" i="42"/>
  <c r="AF3387" i="42"/>
  <c r="AF3386" i="42"/>
  <c r="AF3385" i="42"/>
  <c r="AF3384" i="42"/>
  <c r="AF3383" i="42"/>
  <c r="AF3382" i="42"/>
  <c r="AF3381" i="42"/>
  <c r="AF3380" i="42"/>
  <c r="AF3379" i="42"/>
  <c r="AF3378" i="42"/>
  <c r="AF3377" i="42"/>
  <c r="AF3376" i="42"/>
  <c r="AF3375" i="42"/>
  <c r="AF3374" i="42"/>
  <c r="AF3373" i="42"/>
  <c r="AF3372" i="42"/>
  <c r="AF3371" i="42"/>
  <c r="AF3370" i="42"/>
  <c r="AF3369" i="42"/>
  <c r="AF3368" i="42"/>
  <c r="AF3367" i="42"/>
  <c r="AF3366" i="42"/>
  <c r="AF3365" i="42"/>
  <c r="AF3364" i="42"/>
  <c r="AF3363" i="42"/>
  <c r="AF3362" i="42"/>
  <c r="AF3361" i="42"/>
  <c r="AF3360" i="42"/>
  <c r="AF3359" i="42"/>
  <c r="AF3358" i="42"/>
  <c r="AF3357" i="42"/>
  <c r="AF3356" i="42"/>
  <c r="AF3355" i="42"/>
  <c r="AF3354" i="42"/>
  <c r="AF3353" i="42"/>
  <c r="AF3352" i="42"/>
  <c r="AF3351" i="42"/>
  <c r="AF3350" i="42"/>
  <c r="AF3349" i="42"/>
  <c r="AF3348" i="42"/>
  <c r="AF3347" i="42"/>
  <c r="AF3346" i="42"/>
  <c r="AF3345" i="42"/>
  <c r="AF3344" i="42"/>
  <c r="AF3343" i="42"/>
  <c r="AF3342" i="42"/>
  <c r="AF3341" i="42"/>
  <c r="AF3340" i="42"/>
  <c r="AF3339" i="42"/>
  <c r="AF3338" i="42"/>
  <c r="AF3337" i="42"/>
  <c r="AF3336" i="42"/>
  <c r="AF3335" i="42"/>
  <c r="AF3334" i="42"/>
  <c r="AF3333" i="42"/>
  <c r="AF3332" i="42"/>
  <c r="AF3331" i="42"/>
  <c r="AF3330" i="42"/>
  <c r="AF3329" i="42"/>
  <c r="AF3328" i="42"/>
  <c r="AF3327" i="42"/>
  <c r="AF3326" i="42"/>
  <c r="AF3325" i="42"/>
  <c r="AF3324" i="42"/>
  <c r="AF3323" i="42"/>
  <c r="AF3322" i="42"/>
  <c r="AF3321" i="42"/>
  <c r="AF3320" i="42"/>
  <c r="AF3319" i="42"/>
  <c r="AF3318" i="42"/>
  <c r="AF3317" i="42"/>
  <c r="AF3316" i="42"/>
  <c r="AF3315" i="42"/>
  <c r="AF3314" i="42"/>
  <c r="AF3313" i="42"/>
  <c r="AF3312" i="42"/>
  <c r="AF3311" i="42"/>
  <c r="AF3310" i="42"/>
  <c r="AF3309" i="42"/>
  <c r="AF3308" i="42"/>
  <c r="AF3307" i="42"/>
  <c r="AF3306" i="42"/>
  <c r="AF3305" i="42"/>
  <c r="AF3304" i="42"/>
  <c r="AF3303" i="42"/>
  <c r="AF3302" i="42"/>
  <c r="AF3301" i="42"/>
  <c r="AF3300" i="42"/>
  <c r="AF3299" i="42"/>
  <c r="AF3298" i="42"/>
  <c r="AF3297" i="42"/>
  <c r="AF3296" i="42"/>
  <c r="AF3295" i="42"/>
  <c r="AF3294" i="42"/>
  <c r="AF3293" i="42"/>
  <c r="AF3292" i="42"/>
  <c r="AF3291" i="42"/>
  <c r="AF3290" i="42"/>
  <c r="AF3289" i="42"/>
  <c r="AF3288" i="42"/>
  <c r="AF3287" i="42"/>
  <c r="AF3286" i="42"/>
  <c r="AF3285" i="42"/>
  <c r="AF3284" i="42"/>
  <c r="AF3283" i="42"/>
  <c r="AF3282" i="42"/>
  <c r="AF3281" i="42"/>
  <c r="AF3280" i="42"/>
  <c r="AF3279" i="42"/>
  <c r="AF3278" i="42"/>
  <c r="AF3277" i="42"/>
  <c r="AF3276" i="42"/>
  <c r="AF3275" i="42"/>
  <c r="AF3274" i="42"/>
  <c r="AF3273" i="42"/>
  <c r="AF3272" i="42"/>
  <c r="AF3271" i="42"/>
  <c r="AF3270" i="42"/>
  <c r="AF3269" i="42"/>
  <c r="AF3268" i="42"/>
  <c r="AF3267" i="42"/>
  <c r="AF3266" i="42"/>
  <c r="AF3265" i="42"/>
  <c r="AF3264" i="42"/>
  <c r="AF3263" i="42"/>
  <c r="AF3262" i="42"/>
  <c r="AF3261" i="42"/>
  <c r="AF3260" i="42"/>
  <c r="AF3259" i="42"/>
  <c r="AF3258" i="42"/>
  <c r="AF3257" i="42"/>
  <c r="AF3256" i="42"/>
  <c r="AF3255" i="42"/>
  <c r="AF3254" i="42"/>
  <c r="AF3253" i="42"/>
  <c r="AF3252" i="42"/>
  <c r="AF3251" i="42"/>
  <c r="AF3250" i="42"/>
  <c r="AF3249" i="42"/>
  <c r="AF3248" i="42"/>
  <c r="AF3247" i="42"/>
  <c r="AF3246" i="42"/>
  <c r="AF3245" i="42"/>
  <c r="AF3244" i="42"/>
  <c r="AF3243" i="42"/>
  <c r="AF3242" i="42"/>
  <c r="AF3241" i="42"/>
  <c r="AF3240" i="42"/>
  <c r="AF3239" i="42"/>
  <c r="AF3238" i="42"/>
  <c r="AF3237" i="42"/>
  <c r="AF3236" i="42"/>
  <c r="AF3235" i="42"/>
  <c r="AF3234" i="42"/>
  <c r="AF3233" i="42"/>
  <c r="AF3232" i="42"/>
  <c r="AF3231" i="42"/>
  <c r="AF3230" i="42"/>
  <c r="AF3229" i="42"/>
  <c r="AF3228" i="42"/>
  <c r="AF3227" i="42"/>
  <c r="AF3226" i="42"/>
  <c r="AF3225" i="42"/>
  <c r="AF3224" i="42"/>
  <c r="AF3223" i="42"/>
  <c r="AF3222" i="42"/>
  <c r="AF3221" i="42"/>
  <c r="AF3220" i="42"/>
  <c r="AF3219" i="42"/>
  <c r="AF3218" i="42"/>
  <c r="AF3217" i="42"/>
  <c r="AF3216" i="42"/>
  <c r="AF3215" i="42"/>
  <c r="AF3214" i="42"/>
  <c r="AF3213" i="42"/>
  <c r="AF3212" i="42"/>
  <c r="AF3211" i="42"/>
  <c r="AF3210" i="42"/>
  <c r="AF3209" i="42"/>
  <c r="AF3208" i="42"/>
  <c r="AF3207" i="42"/>
  <c r="AF3206" i="42"/>
  <c r="AF3205" i="42"/>
  <c r="AF3204" i="42"/>
  <c r="AF3203" i="42"/>
  <c r="AF3202" i="42"/>
  <c r="AF3201" i="42"/>
  <c r="AF3200" i="42"/>
  <c r="AF3199" i="42"/>
  <c r="AF3198" i="42"/>
  <c r="AF3197" i="42"/>
  <c r="AF3196" i="42"/>
  <c r="AF3195" i="42"/>
  <c r="AF3194" i="42"/>
  <c r="AF3193" i="42"/>
  <c r="AF3192" i="42"/>
  <c r="AF3191" i="42"/>
  <c r="AF3190" i="42"/>
  <c r="AF3189" i="42"/>
  <c r="AF3188" i="42"/>
  <c r="AF3187" i="42"/>
  <c r="AF3186" i="42"/>
  <c r="AF3185" i="42"/>
  <c r="AF3184" i="42"/>
  <c r="AF3183" i="42"/>
  <c r="AF3182" i="42"/>
  <c r="AF3181" i="42"/>
  <c r="AF3180" i="42"/>
  <c r="AF3179" i="42"/>
  <c r="AF3178" i="42"/>
  <c r="AF3177" i="42"/>
  <c r="AF3176" i="42"/>
  <c r="AF3175" i="42"/>
  <c r="AF3174" i="42"/>
  <c r="AF3173" i="42"/>
  <c r="AF3172" i="42"/>
  <c r="AF3171" i="42"/>
  <c r="AF3170" i="42"/>
  <c r="AF3169" i="42"/>
  <c r="AF3168" i="42"/>
  <c r="AF3167" i="42"/>
  <c r="AF3166" i="42"/>
  <c r="AF3165" i="42"/>
  <c r="AF3164" i="42"/>
  <c r="AF3163" i="42"/>
  <c r="AF3162" i="42"/>
  <c r="AF3161" i="42"/>
  <c r="AF3160" i="42"/>
  <c r="AF3159" i="42"/>
  <c r="AF3158" i="42"/>
  <c r="AF3157" i="42"/>
  <c r="AF3156" i="42"/>
  <c r="AF3155" i="42"/>
  <c r="AF3154" i="42"/>
  <c r="AF3153" i="42"/>
  <c r="AF3152" i="42"/>
  <c r="AF3151" i="42"/>
  <c r="AF3150" i="42"/>
  <c r="AF3149" i="42"/>
  <c r="AF3148" i="42"/>
  <c r="AF3147" i="42"/>
  <c r="AF3146" i="42"/>
  <c r="AF3145" i="42"/>
  <c r="AF3144" i="42"/>
  <c r="AF3143" i="42"/>
  <c r="AF3142" i="42"/>
  <c r="AF3141" i="42"/>
  <c r="AF3140" i="42"/>
  <c r="AF3139" i="42"/>
  <c r="AF3138" i="42"/>
  <c r="AF3137" i="42"/>
  <c r="AF3136" i="42"/>
  <c r="AF3135" i="42"/>
  <c r="AF3134" i="42"/>
  <c r="AF3133" i="42"/>
  <c r="AF3132" i="42"/>
  <c r="AF3131" i="42"/>
  <c r="AF3130" i="42"/>
  <c r="AF3129" i="42"/>
  <c r="AF3128" i="42"/>
  <c r="AF3127" i="42"/>
  <c r="AF3126" i="42"/>
  <c r="AF3125" i="42"/>
  <c r="AF3124" i="42"/>
  <c r="AF3123" i="42"/>
  <c r="AF3122" i="42"/>
  <c r="AF3121" i="42"/>
  <c r="AF3120" i="42"/>
  <c r="AF3119" i="42"/>
  <c r="AF3118" i="42"/>
  <c r="AF3117" i="42"/>
  <c r="AF3116" i="42"/>
  <c r="AF3115" i="42"/>
  <c r="AF3114" i="42"/>
  <c r="AF3113" i="42"/>
  <c r="AF3112" i="42"/>
  <c r="AF3111" i="42"/>
  <c r="AF3110" i="42"/>
  <c r="AF3109" i="42"/>
  <c r="AF3108" i="42"/>
  <c r="AF3107" i="42"/>
  <c r="AF3106" i="42"/>
  <c r="AF3105" i="42"/>
  <c r="AF3104" i="42"/>
  <c r="AF3103" i="42"/>
  <c r="AF3102" i="42"/>
  <c r="AF3101" i="42"/>
  <c r="AF3100" i="42"/>
  <c r="AF3099" i="42"/>
  <c r="AF3098" i="42"/>
  <c r="AF3097" i="42"/>
  <c r="AF3096" i="42"/>
  <c r="AF3095" i="42"/>
  <c r="AF3094" i="42"/>
  <c r="AF3093" i="42"/>
  <c r="AF3092" i="42"/>
  <c r="AF3091" i="42"/>
  <c r="AF3090" i="42"/>
  <c r="AF3089" i="42"/>
  <c r="AF3088" i="42"/>
  <c r="AF3087" i="42"/>
  <c r="AF3086" i="42"/>
  <c r="AF3085" i="42"/>
  <c r="AF3084" i="42"/>
  <c r="AF3083" i="42"/>
  <c r="AF3082" i="42"/>
  <c r="AF3081" i="42"/>
  <c r="AF3080" i="42"/>
  <c r="AF3079" i="42"/>
  <c r="AF3078" i="42"/>
  <c r="AF3077" i="42"/>
  <c r="AF3076" i="42"/>
  <c r="AF3075" i="42"/>
  <c r="AF3074" i="42"/>
  <c r="AF3073" i="42"/>
  <c r="AF3072" i="42"/>
  <c r="AF3071" i="42"/>
  <c r="AF3070" i="42"/>
  <c r="AF3069" i="42"/>
  <c r="AF3068" i="42"/>
  <c r="AF3067" i="42"/>
  <c r="AF3066" i="42"/>
  <c r="AF3065" i="42"/>
  <c r="AF3064" i="42"/>
  <c r="AF3063" i="42"/>
  <c r="AF3062" i="42"/>
  <c r="AF3061" i="42"/>
  <c r="AF3060" i="42"/>
  <c r="AF3059" i="42"/>
  <c r="AF3058" i="42"/>
  <c r="AF3057" i="42"/>
  <c r="AF3056" i="42"/>
  <c r="AF3055" i="42"/>
  <c r="AF3054" i="42"/>
  <c r="AF3053" i="42"/>
  <c r="AF3052" i="42"/>
  <c r="AF3051" i="42"/>
  <c r="AF3050" i="42"/>
  <c r="AF3049" i="42"/>
  <c r="AF3048" i="42"/>
  <c r="AF3047" i="42"/>
  <c r="AF3046" i="42"/>
  <c r="AF3045" i="42"/>
  <c r="AF3044" i="42"/>
  <c r="AF3043" i="42"/>
  <c r="AF3042" i="42"/>
  <c r="AF3041" i="42"/>
  <c r="AF3040" i="42"/>
  <c r="AF3039" i="42"/>
  <c r="AF3038" i="42"/>
  <c r="AF3037" i="42"/>
  <c r="AF3036" i="42"/>
  <c r="AF3035" i="42"/>
  <c r="AF3034" i="42"/>
  <c r="AF3033" i="42"/>
  <c r="AF3032" i="42"/>
  <c r="AF3031" i="42"/>
  <c r="AF3030" i="42"/>
  <c r="AF3029" i="42"/>
  <c r="AF3028" i="42"/>
  <c r="AF3027" i="42"/>
  <c r="AF3026" i="42"/>
  <c r="AF3025" i="42"/>
  <c r="AF3024" i="42"/>
  <c r="AF3023" i="42"/>
  <c r="AF3022" i="42"/>
  <c r="AF3021" i="42"/>
  <c r="AF3020" i="42"/>
  <c r="AF3019" i="42"/>
  <c r="AF3018" i="42"/>
  <c r="AF3017" i="42"/>
  <c r="AF3016" i="42"/>
  <c r="AF3015" i="42"/>
  <c r="AF3014" i="42"/>
  <c r="AF3013" i="42"/>
  <c r="AF3012" i="42"/>
  <c r="AF3011" i="42"/>
  <c r="AF3010" i="42"/>
  <c r="AF3009" i="42"/>
  <c r="AF3008" i="42"/>
  <c r="AF3007" i="42"/>
  <c r="AF3006" i="42"/>
  <c r="AF3005" i="42"/>
  <c r="AF3004" i="42"/>
  <c r="AF3003" i="42"/>
  <c r="AF3002" i="42"/>
  <c r="AF3001" i="42"/>
  <c r="AF3000" i="42"/>
  <c r="AF2999" i="42"/>
  <c r="AF2998" i="42"/>
  <c r="AF2997" i="42"/>
  <c r="AF2996" i="42"/>
  <c r="AF2995" i="42"/>
  <c r="AF2994" i="42"/>
  <c r="AF2993" i="42"/>
  <c r="AF2992" i="42"/>
  <c r="AF2991" i="42"/>
  <c r="AF2990" i="42"/>
  <c r="AF2989" i="42"/>
  <c r="AF2988" i="42"/>
  <c r="AF2987" i="42"/>
  <c r="AF2986" i="42"/>
  <c r="AF2985" i="42"/>
  <c r="AF2984" i="42"/>
  <c r="AF2983" i="42"/>
  <c r="AF2982" i="42"/>
  <c r="AF2981" i="42"/>
  <c r="AF2980" i="42"/>
  <c r="AF2979" i="42"/>
  <c r="AF2978" i="42"/>
  <c r="AF2977" i="42"/>
  <c r="AF2976" i="42"/>
  <c r="AF2975" i="42"/>
  <c r="AF2974" i="42"/>
  <c r="AF2973" i="42"/>
  <c r="AF2972" i="42"/>
  <c r="AF2971" i="42"/>
  <c r="AF2970" i="42"/>
  <c r="AF2969" i="42"/>
  <c r="AF2968" i="42"/>
  <c r="AF2967" i="42"/>
  <c r="AF2966" i="42"/>
  <c r="AF2965" i="42"/>
  <c r="AF2964" i="42"/>
  <c r="AF2963" i="42"/>
  <c r="AF2962" i="42"/>
  <c r="AF2961" i="42"/>
  <c r="AF2960" i="42"/>
  <c r="AF2959" i="42"/>
  <c r="AF2958" i="42"/>
  <c r="AF2957" i="42"/>
  <c r="AF2956" i="42"/>
  <c r="AF2955" i="42"/>
  <c r="AF2954" i="42"/>
  <c r="AF2953" i="42"/>
  <c r="AF2952" i="42"/>
  <c r="AF2951" i="42"/>
  <c r="AF2950" i="42"/>
  <c r="AF2949" i="42"/>
  <c r="AF2948" i="42"/>
  <c r="AF2947" i="42"/>
  <c r="AF2946" i="42"/>
  <c r="AF2945" i="42"/>
  <c r="AF2944" i="42"/>
  <c r="AF2943" i="42"/>
  <c r="AF2942" i="42"/>
  <c r="AF2941" i="42"/>
  <c r="AF2940" i="42"/>
  <c r="AF2939" i="42"/>
  <c r="AF2938" i="42"/>
  <c r="AF2937" i="42"/>
  <c r="AF2936" i="42"/>
  <c r="AF2935" i="42"/>
  <c r="AF2934" i="42"/>
  <c r="AF2933" i="42"/>
  <c r="AF2932" i="42"/>
  <c r="AF2931" i="42"/>
  <c r="AF2930" i="42"/>
  <c r="AF2929" i="42"/>
  <c r="AF2928" i="42"/>
  <c r="AF2927" i="42"/>
  <c r="AF2926" i="42"/>
  <c r="AF2925" i="42"/>
  <c r="AF2924" i="42"/>
  <c r="AF2923" i="42"/>
  <c r="AF2922" i="42"/>
  <c r="AF2921" i="42"/>
  <c r="AF2920" i="42"/>
  <c r="AF2919" i="42"/>
  <c r="AF2918" i="42"/>
  <c r="AF2917" i="42"/>
  <c r="AF2916" i="42"/>
  <c r="AF2915" i="42"/>
  <c r="AF2914" i="42"/>
  <c r="AF2913" i="42"/>
  <c r="AF2912" i="42"/>
  <c r="AF2911" i="42"/>
  <c r="AF2910" i="42"/>
  <c r="AF2909" i="42"/>
  <c r="AF2908" i="42"/>
  <c r="AF2907" i="42"/>
  <c r="AF2906" i="42"/>
  <c r="AF2905" i="42"/>
  <c r="AF2904" i="42"/>
  <c r="AF2903" i="42"/>
  <c r="AF2902" i="42"/>
  <c r="AF2901" i="42"/>
  <c r="AF2900" i="42"/>
  <c r="AF2899" i="42"/>
  <c r="AF2898" i="42"/>
  <c r="AF2897" i="42"/>
  <c r="AF2896" i="42"/>
  <c r="AF2895" i="42"/>
  <c r="AF2894" i="42"/>
  <c r="AF2893" i="42"/>
  <c r="AF2892" i="42"/>
  <c r="AF2891" i="42"/>
  <c r="AF2890" i="42"/>
  <c r="AF2889" i="42"/>
  <c r="AF2888" i="42"/>
  <c r="AF2887" i="42"/>
  <c r="AF2886" i="42"/>
  <c r="AF2885" i="42"/>
  <c r="AF2884" i="42"/>
  <c r="AF2883" i="42"/>
  <c r="AF2882" i="42"/>
  <c r="AF2881" i="42"/>
  <c r="AF2880" i="42"/>
  <c r="AF2879" i="42"/>
  <c r="AF2878" i="42"/>
  <c r="AF2877" i="42"/>
  <c r="AF2876" i="42"/>
  <c r="AF2875" i="42"/>
  <c r="AF2874" i="42"/>
  <c r="AF2873" i="42"/>
  <c r="AF2872" i="42"/>
  <c r="AF2871" i="42"/>
  <c r="AF2870" i="42"/>
  <c r="AF2869" i="42"/>
  <c r="AF2868" i="42"/>
  <c r="AF2867" i="42"/>
  <c r="AF2866" i="42"/>
  <c r="AF2865" i="42"/>
  <c r="AF2864" i="42"/>
  <c r="AF2863" i="42"/>
  <c r="AF2862" i="42"/>
  <c r="AF2861" i="42"/>
  <c r="AF2860" i="42"/>
  <c r="AF2859" i="42"/>
  <c r="AF2858" i="42"/>
  <c r="AF2857" i="42"/>
  <c r="AF2856" i="42"/>
  <c r="AF2855" i="42"/>
  <c r="AF2854" i="42"/>
  <c r="AF2853" i="42"/>
  <c r="AF2852" i="42"/>
  <c r="AF2851" i="42"/>
  <c r="AF2850" i="42"/>
  <c r="AF2849" i="42"/>
  <c r="AF2848" i="42"/>
  <c r="AF2847" i="42"/>
  <c r="AF2846" i="42"/>
  <c r="AF2845" i="42"/>
  <c r="AF2844" i="42"/>
  <c r="AF2843" i="42"/>
  <c r="AF2842" i="42"/>
  <c r="AF2841" i="42"/>
  <c r="AF2840" i="42"/>
  <c r="AF2839" i="42"/>
  <c r="AF2838" i="42"/>
  <c r="AF2837" i="42"/>
  <c r="AF2836" i="42"/>
  <c r="AF2835" i="42"/>
  <c r="AF2834" i="42"/>
  <c r="AF2833" i="42"/>
  <c r="AF2832" i="42"/>
  <c r="AF2831" i="42"/>
  <c r="AF2830" i="42"/>
  <c r="AF2829" i="42"/>
  <c r="AF2828" i="42"/>
  <c r="AF2827" i="42"/>
  <c r="AF2826" i="42"/>
  <c r="AF2825" i="42"/>
  <c r="AF2824" i="42"/>
  <c r="AF2823" i="42"/>
  <c r="AF2822" i="42"/>
  <c r="AF2821" i="42"/>
  <c r="AF2820" i="42"/>
  <c r="AF2819" i="42"/>
  <c r="AF2818" i="42"/>
  <c r="AF2817" i="42"/>
  <c r="AF2816" i="42"/>
  <c r="AF2815" i="42"/>
  <c r="AF2814" i="42"/>
  <c r="AF2813" i="42"/>
  <c r="AF2812" i="42"/>
  <c r="AF2811" i="42"/>
  <c r="AF2810" i="42"/>
  <c r="AF2809" i="42"/>
  <c r="AF2808" i="42"/>
  <c r="AF2807" i="42"/>
  <c r="AF2806" i="42"/>
  <c r="AF2805" i="42"/>
  <c r="AF2804" i="42"/>
  <c r="AF2803" i="42"/>
  <c r="AF2802" i="42"/>
  <c r="AF2801" i="42"/>
  <c r="AF2800" i="42"/>
  <c r="AF2799" i="42"/>
  <c r="AF2798" i="42"/>
  <c r="AF2797" i="42"/>
  <c r="AF2796" i="42"/>
  <c r="AF2795" i="42"/>
  <c r="AF2794" i="42"/>
  <c r="AF2793" i="42"/>
  <c r="AF2792" i="42"/>
  <c r="AF2791" i="42"/>
  <c r="AF2790" i="42"/>
  <c r="AF2789" i="42"/>
  <c r="AF2788" i="42"/>
  <c r="AF2787" i="42"/>
  <c r="AF2786" i="42"/>
  <c r="AF2785" i="42"/>
  <c r="AF2784" i="42"/>
  <c r="AF2783" i="42"/>
  <c r="AF2782" i="42"/>
  <c r="AF2781" i="42"/>
  <c r="AF2780" i="42"/>
  <c r="AF2779" i="42"/>
  <c r="AF2778" i="42"/>
  <c r="AF2777" i="42"/>
  <c r="AF2776" i="42"/>
  <c r="AF2775" i="42"/>
  <c r="AF2774" i="42"/>
  <c r="AF2773" i="42"/>
  <c r="AF2772" i="42"/>
  <c r="AF2771" i="42"/>
  <c r="AF2770" i="42"/>
  <c r="AF2769" i="42"/>
  <c r="AF2768" i="42"/>
  <c r="AF2767" i="42"/>
  <c r="AF2766" i="42"/>
  <c r="AF2765" i="42"/>
  <c r="AF2764" i="42"/>
  <c r="AF2763" i="42"/>
  <c r="AF2762" i="42"/>
  <c r="AF2761" i="42"/>
  <c r="AF2760" i="42"/>
  <c r="AF2759" i="42"/>
  <c r="AF2758" i="42"/>
  <c r="AF2757" i="42"/>
  <c r="AF2756" i="42"/>
  <c r="AF2755" i="42"/>
  <c r="AF2754" i="42"/>
  <c r="AF2753" i="42"/>
  <c r="AF2752" i="42"/>
  <c r="AF2751" i="42"/>
  <c r="AF2750" i="42"/>
  <c r="AF2749" i="42"/>
  <c r="AF2748" i="42"/>
  <c r="AF2747" i="42"/>
  <c r="AF2746" i="42"/>
  <c r="AF2745" i="42"/>
  <c r="AF2744" i="42"/>
  <c r="AF2743" i="42"/>
  <c r="AF2742" i="42"/>
  <c r="AF2741" i="42"/>
  <c r="AF2740" i="42"/>
  <c r="AF2739" i="42"/>
  <c r="AF2738" i="42"/>
  <c r="AF2737" i="42"/>
  <c r="AF2736" i="42"/>
  <c r="AF2735" i="42"/>
  <c r="AF2734" i="42"/>
  <c r="AF2733" i="42"/>
  <c r="AF2732" i="42"/>
  <c r="AF2731" i="42"/>
  <c r="AF2730" i="42"/>
  <c r="AF2729" i="42"/>
  <c r="AF2728" i="42"/>
  <c r="AF2727" i="42"/>
  <c r="AF2726" i="42"/>
  <c r="AF2725" i="42"/>
  <c r="AF2724" i="42"/>
  <c r="AF2723" i="42"/>
  <c r="AF2722" i="42"/>
  <c r="AF2721" i="42"/>
  <c r="AF2720" i="42"/>
  <c r="AF2719" i="42"/>
  <c r="AF2718" i="42"/>
  <c r="AF2717" i="42"/>
  <c r="AF2716" i="42"/>
  <c r="AF2715" i="42"/>
  <c r="AF2714" i="42"/>
  <c r="AF2713" i="42"/>
  <c r="AF2712" i="42"/>
  <c r="AF2711" i="42"/>
  <c r="AF2710" i="42"/>
  <c r="AF2709" i="42"/>
  <c r="AF2708" i="42"/>
  <c r="AF2707" i="42"/>
  <c r="AF2706" i="42"/>
  <c r="AF2705" i="42"/>
  <c r="AF2704" i="42"/>
  <c r="AF2703" i="42"/>
  <c r="AF2702" i="42"/>
  <c r="AF2701" i="42"/>
  <c r="AF2700" i="42"/>
  <c r="AF2699" i="42"/>
  <c r="AF2698" i="42"/>
  <c r="AF2697" i="42"/>
  <c r="AF2696" i="42"/>
  <c r="AF2695" i="42"/>
  <c r="AF2694" i="42"/>
  <c r="AF2693" i="42"/>
  <c r="AF2692" i="42"/>
  <c r="AF2691" i="42"/>
  <c r="AF2690" i="42"/>
  <c r="AF2689" i="42"/>
  <c r="AF2688" i="42"/>
  <c r="AF2687" i="42"/>
  <c r="AF2686" i="42"/>
  <c r="AF2685" i="42"/>
  <c r="AF2684" i="42"/>
  <c r="AF2683" i="42"/>
  <c r="AF2682" i="42"/>
  <c r="AF2681" i="42"/>
  <c r="AF2680" i="42"/>
  <c r="AF2679" i="42"/>
  <c r="AF2678" i="42"/>
  <c r="AF2677" i="42"/>
  <c r="AF2676" i="42"/>
  <c r="AF2675" i="42"/>
  <c r="AF2674" i="42"/>
  <c r="AF2673" i="42"/>
  <c r="AF2672" i="42"/>
  <c r="AF2671" i="42"/>
  <c r="AF2670" i="42"/>
  <c r="AF2669" i="42"/>
  <c r="AF2668" i="42"/>
  <c r="AF2667" i="42"/>
  <c r="AF2666" i="42"/>
  <c r="AF2665" i="42"/>
  <c r="AF2664" i="42"/>
  <c r="AF2663" i="42"/>
  <c r="AF2662" i="42"/>
  <c r="AF2661" i="42"/>
  <c r="AF2660" i="42"/>
  <c r="AF2659" i="42"/>
  <c r="AF2658" i="42"/>
  <c r="AF2657" i="42"/>
  <c r="AF2656" i="42"/>
  <c r="AF2655" i="42"/>
  <c r="AF2654" i="42"/>
  <c r="AF2653" i="42"/>
  <c r="AF2652" i="42"/>
  <c r="AF2651" i="42"/>
  <c r="AF2650" i="42"/>
  <c r="AF2649" i="42"/>
  <c r="AF2648" i="42"/>
  <c r="AF2647" i="42"/>
  <c r="AF2646" i="42"/>
  <c r="AF2645" i="42"/>
  <c r="AF2644" i="42"/>
  <c r="AF2643" i="42"/>
  <c r="AF2642" i="42"/>
  <c r="AF2641" i="42"/>
  <c r="AF2640" i="42"/>
  <c r="AF2639" i="42"/>
  <c r="AF2638" i="42"/>
  <c r="AF2637" i="42"/>
  <c r="AF2636" i="42"/>
  <c r="AF2635" i="42"/>
  <c r="AF2634" i="42"/>
  <c r="AF2633" i="42"/>
  <c r="AF2632" i="42"/>
  <c r="AF2631" i="42"/>
  <c r="AF2630" i="42"/>
  <c r="AF2629" i="42"/>
  <c r="AF2628" i="42"/>
  <c r="AF2627" i="42"/>
  <c r="AF2626" i="42"/>
  <c r="AF2625" i="42"/>
  <c r="AF2624" i="42"/>
  <c r="AF2623" i="42"/>
  <c r="AF2622" i="42"/>
  <c r="AF2621" i="42"/>
  <c r="AF2620" i="42"/>
  <c r="AF2619" i="42"/>
  <c r="AF2618" i="42"/>
  <c r="AF2617" i="42"/>
  <c r="AF2616" i="42"/>
  <c r="AF2615" i="42"/>
  <c r="AF2614" i="42"/>
  <c r="AF2613" i="42"/>
  <c r="AF2612" i="42"/>
  <c r="AF2611" i="42"/>
  <c r="AF2610" i="42"/>
  <c r="AF2609" i="42"/>
  <c r="AF2608" i="42"/>
  <c r="AF2607" i="42"/>
  <c r="AF2606" i="42"/>
  <c r="AF2605" i="42"/>
  <c r="AF2604" i="42"/>
  <c r="AF2603" i="42"/>
  <c r="AF2602" i="42"/>
  <c r="AF2601" i="42"/>
  <c r="AF2600" i="42"/>
  <c r="AF2599" i="42"/>
  <c r="AF2598" i="42"/>
  <c r="AF2597" i="42"/>
  <c r="AF2596" i="42"/>
  <c r="AF2595" i="42"/>
  <c r="AF2594" i="42"/>
  <c r="AF2593" i="42"/>
  <c r="AF2592" i="42"/>
  <c r="AF2591" i="42"/>
  <c r="AF2590" i="42"/>
  <c r="AF2589" i="42"/>
  <c r="AF2588" i="42"/>
  <c r="AF2587" i="42"/>
  <c r="AF2586" i="42"/>
  <c r="AF2585" i="42"/>
  <c r="AF2584" i="42"/>
  <c r="AF2583" i="42"/>
  <c r="AF2582" i="42"/>
  <c r="AF2581" i="42"/>
  <c r="AF2580" i="42"/>
  <c r="AF2579" i="42"/>
  <c r="AF2578" i="42"/>
  <c r="AF2577" i="42"/>
  <c r="AF2576" i="42"/>
  <c r="AF2575" i="42"/>
  <c r="AF2574" i="42"/>
  <c r="AF2573" i="42"/>
  <c r="AF2572" i="42"/>
  <c r="AF2571" i="42"/>
  <c r="AF2570" i="42"/>
  <c r="AF2569" i="42"/>
  <c r="AF2568" i="42"/>
  <c r="AF2567" i="42"/>
  <c r="AF2566" i="42"/>
  <c r="AF2565" i="42"/>
  <c r="AF2564" i="42"/>
  <c r="AF2563" i="42"/>
  <c r="AF2562" i="42"/>
  <c r="AF2561" i="42"/>
  <c r="AF2560" i="42"/>
  <c r="AF2559" i="42"/>
  <c r="AF2558" i="42"/>
  <c r="AF2557" i="42"/>
  <c r="AF2556" i="42"/>
  <c r="AF2555" i="42"/>
  <c r="AF2554" i="42"/>
  <c r="AF2553" i="42"/>
  <c r="AF2552" i="42"/>
  <c r="AF2551" i="42"/>
  <c r="AF2550" i="42"/>
  <c r="AF2549" i="42"/>
  <c r="AF2548" i="42"/>
  <c r="AF2547" i="42"/>
  <c r="AF2546" i="42"/>
  <c r="AF2545" i="42"/>
  <c r="AF2544" i="42"/>
  <c r="AF2543" i="42"/>
  <c r="AF2542" i="42"/>
  <c r="AF2541" i="42"/>
  <c r="AF2540" i="42"/>
  <c r="AF2539" i="42"/>
  <c r="AF2538" i="42"/>
  <c r="AF2537" i="42"/>
  <c r="AF2536" i="42"/>
  <c r="AF2535" i="42"/>
  <c r="AF2534" i="42"/>
  <c r="AF2533" i="42"/>
  <c r="AF2532" i="42"/>
  <c r="AF2531" i="42"/>
  <c r="AF2530" i="42"/>
  <c r="AF2529" i="42"/>
  <c r="AF2528" i="42"/>
  <c r="AF2527" i="42"/>
  <c r="AF2526" i="42"/>
  <c r="AF2525" i="42"/>
  <c r="AF2524" i="42"/>
  <c r="AF2523" i="42"/>
  <c r="AF2522" i="42"/>
  <c r="AF2521" i="42"/>
  <c r="AF2520" i="42"/>
  <c r="AF2519" i="42"/>
  <c r="AF2518" i="42"/>
  <c r="AF2517" i="42"/>
  <c r="AF2516" i="42"/>
  <c r="AF2515" i="42"/>
  <c r="AF2514" i="42"/>
  <c r="AF2513" i="42"/>
  <c r="AF2512" i="42"/>
  <c r="AF2511" i="42"/>
  <c r="AF2510" i="42"/>
  <c r="AF2509" i="42"/>
  <c r="AF2508" i="42"/>
  <c r="AF2507" i="42"/>
  <c r="AF2506" i="42"/>
  <c r="AF2505" i="42"/>
  <c r="AF2504" i="42"/>
  <c r="AF2503" i="42"/>
  <c r="AF2502" i="42"/>
  <c r="AF2501" i="42"/>
  <c r="AF2500" i="42"/>
  <c r="AF2499" i="42"/>
  <c r="AF2498" i="42"/>
  <c r="AF2497" i="42"/>
  <c r="AF2496" i="42"/>
  <c r="AF2495" i="42"/>
  <c r="AF2494" i="42"/>
  <c r="AF2493" i="42"/>
  <c r="AF2492" i="42"/>
  <c r="AF2491" i="42"/>
  <c r="AF2490" i="42"/>
  <c r="AF2489" i="42"/>
  <c r="AF2488" i="42"/>
  <c r="AF2487" i="42"/>
  <c r="AF2486" i="42"/>
  <c r="AF2485" i="42"/>
  <c r="AF2484" i="42"/>
  <c r="AF2483" i="42"/>
  <c r="AF2482" i="42"/>
  <c r="AF2481" i="42"/>
  <c r="AF2480" i="42"/>
  <c r="AF2479" i="42"/>
  <c r="AF2478" i="42"/>
  <c r="AF2477" i="42"/>
  <c r="AF2476" i="42"/>
  <c r="AF2475" i="42"/>
  <c r="AF2474" i="42"/>
  <c r="AF2473" i="42"/>
  <c r="AF2472" i="42"/>
  <c r="AF2471" i="42"/>
  <c r="AF2470" i="42"/>
  <c r="AF2469" i="42"/>
  <c r="AF2468" i="42"/>
  <c r="AF2467" i="42"/>
  <c r="AF2466" i="42"/>
  <c r="AF2465" i="42"/>
  <c r="AF2464" i="42"/>
  <c r="AF2463" i="42"/>
  <c r="AF2462" i="42"/>
  <c r="AF2461" i="42"/>
  <c r="AF2460" i="42"/>
  <c r="AF2459" i="42"/>
  <c r="AF2458" i="42"/>
  <c r="AF2457" i="42"/>
  <c r="AF2456" i="42"/>
  <c r="AF2455" i="42"/>
  <c r="AF2454" i="42"/>
  <c r="AF2453" i="42"/>
  <c r="AF2452" i="42"/>
  <c r="AF2451" i="42"/>
  <c r="AF2450" i="42"/>
  <c r="AF2449" i="42"/>
  <c r="AF2448" i="42"/>
  <c r="AF2447" i="42"/>
  <c r="AF2446" i="42"/>
  <c r="AF2445" i="42"/>
  <c r="AF2444" i="42"/>
  <c r="AF2443" i="42"/>
  <c r="AF2442" i="42"/>
  <c r="AF2441" i="42"/>
  <c r="AF2440" i="42"/>
  <c r="AF2439" i="42"/>
  <c r="AF2438" i="42"/>
  <c r="AF2437" i="42"/>
  <c r="AF2436" i="42"/>
  <c r="AF2435" i="42"/>
  <c r="AF2434" i="42"/>
  <c r="AF2433" i="42"/>
  <c r="AF2432" i="42"/>
  <c r="AF2431" i="42"/>
  <c r="AF2430" i="42"/>
  <c r="AF2429" i="42"/>
  <c r="AF2428" i="42"/>
  <c r="AF2427" i="42"/>
  <c r="AF2426" i="42"/>
  <c r="AF2425" i="42"/>
  <c r="AF2424" i="42"/>
  <c r="AF2423" i="42"/>
  <c r="AF2422" i="42"/>
  <c r="AF2421" i="42"/>
  <c r="AF2420" i="42"/>
  <c r="AF2419" i="42"/>
  <c r="AF2418" i="42"/>
  <c r="AF2417" i="42"/>
  <c r="AF2416" i="42"/>
  <c r="AF2415" i="42"/>
  <c r="AF2414" i="42"/>
  <c r="AF2413" i="42"/>
  <c r="AF2412" i="42"/>
  <c r="AF2411" i="42"/>
  <c r="AF2410" i="42"/>
  <c r="AF2409" i="42"/>
  <c r="AF2408" i="42"/>
  <c r="AF2407" i="42"/>
  <c r="AF2406" i="42"/>
  <c r="AF2405" i="42"/>
  <c r="AF2404" i="42"/>
  <c r="AF2403" i="42"/>
  <c r="AF2402" i="42"/>
  <c r="AF2401" i="42"/>
  <c r="AF2400" i="42"/>
  <c r="AF2399" i="42"/>
  <c r="AF2398" i="42"/>
  <c r="AF2397" i="42"/>
  <c r="AF2396" i="42"/>
  <c r="AF2395" i="42"/>
  <c r="AF2394" i="42"/>
  <c r="AF2393" i="42"/>
  <c r="AF2392" i="42"/>
  <c r="AF2391" i="42"/>
  <c r="AF2390" i="42"/>
  <c r="AF2389" i="42"/>
  <c r="AF2388" i="42"/>
  <c r="AF2387" i="42"/>
  <c r="AF2386" i="42"/>
  <c r="AF2385" i="42"/>
  <c r="AF2384" i="42"/>
  <c r="AF2383" i="42"/>
  <c r="AF2382" i="42"/>
  <c r="AF2381" i="42"/>
  <c r="AF2380" i="42"/>
  <c r="AF2379" i="42"/>
  <c r="AF2378" i="42"/>
  <c r="AF2377" i="42"/>
  <c r="AF2376" i="42"/>
  <c r="AF2375" i="42"/>
  <c r="AF2374" i="42"/>
  <c r="AF2373" i="42"/>
  <c r="AF2372" i="42"/>
  <c r="AF2371" i="42"/>
  <c r="AF2370" i="42"/>
  <c r="AF2369" i="42"/>
  <c r="AF2368" i="42"/>
  <c r="AF2367" i="42"/>
  <c r="AF2366" i="42"/>
  <c r="AF2365" i="42"/>
  <c r="AF2364" i="42"/>
  <c r="AF2363" i="42"/>
  <c r="AF2362" i="42"/>
  <c r="AF2361" i="42"/>
  <c r="AF2360" i="42"/>
  <c r="AF2359" i="42"/>
  <c r="AF2358" i="42"/>
  <c r="AF2357" i="42"/>
  <c r="AF2356" i="42"/>
  <c r="AF2355" i="42"/>
  <c r="AF2354" i="42"/>
  <c r="AF2353" i="42"/>
  <c r="AF2352" i="42"/>
  <c r="AF2351" i="42"/>
  <c r="AF2350" i="42"/>
  <c r="AF2349" i="42"/>
  <c r="AF2348" i="42"/>
  <c r="AF2347" i="42"/>
  <c r="AF2346" i="42"/>
  <c r="AF2345" i="42"/>
  <c r="AF2344" i="42"/>
  <c r="AF2343" i="42"/>
  <c r="AF2342" i="42"/>
  <c r="AF2341" i="42"/>
  <c r="AF2340" i="42"/>
  <c r="AF2339" i="42"/>
  <c r="AF2338" i="42"/>
  <c r="AF2337" i="42"/>
  <c r="AF2336" i="42"/>
  <c r="AF2335" i="42"/>
  <c r="AF2334" i="42"/>
  <c r="AF2333" i="42"/>
  <c r="AF2332" i="42"/>
  <c r="AF2331" i="42"/>
  <c r="AF2330" i="42"/>
  <c r="AF2329" i="42"/>
  <c r="AF2328" i="42"/>
  <c r="AF2327" i="42"/>
  <c r="AF2326" i="42"/>
  <c r="AF2325" i="42"/>
  <c r="AF2324" i="42"/>
  <c r="AF2323" i="42"/>
  <c r="AF2322" i="42"/>
  <c r="AF2321" i="42"/>
  <c r="AF2320" i="42"/>
  <c r="AF2319" i="42"/>
  <c r="AF2318" i="42"/>
  <c r="AF2317" i="42"/>
  <c r="AF2316" i="42"/>
  <c r="AF2315" i="42"/>
  <c r="AF2314" i="42"/>
  <c r="AF2313" i="42"/>
  <c r="AF2312" i="42"/>
  <c r="AF2311" i="42"/>
  <c r="AF2310" i="42"/>
  <c r="AF2309" i="42"/>
  <c r="AF2308" i="42"/>
  <c r="AF2307" i="42"/>
  <c r="AF2306" i="42"/>
  <c r="AF2305" i="42"/>
  <c r="AF2304" i="42"/>
  <c r="AF2303" i="42"/>
  <c r="AF2302" i="42"/>
  <c r="AF2301" i="42"/>
  <c r="AF2300" i="42"/>
  <c r="AF2299" i="42"/>
  <c r="AF2298" i="42"/>
  <c r="AF2297" i="42"/>
  <c r="AF2296" i="42"/>
  <c r="AF2295" i="42"/>
  <c r="AF2294" i="42"/>
  <c r="AF2293" i="42"/>
  <c r="AF2292" i="42"/>
  <c r="AF2291" i="42"/>
  <c r="AF2290" i="42"/>
  <c r="AF2289" i="42"/>
  <c r="AF2288" i="42"/>
  <c r="AF2287" i="42"/>
  <c r="AF2286" i="42"/>
  <c r="AF2285" i="42"/>
  <c r="AF2284" i="42"/>
  <c r="AF2283" i="42"/>
  <c r="AF2282" i="42"/>
  <c r="AF2281" i="42"/>
  <c r="AF2280" i="42"/>
  <c r="AF2279" i="42"/>
  <c r="AF2278" i="42"/>
  <c r="AF2277" i="42"/>
  <c r="AF2276" i="42"/>
  <c r="AF2275" i="42"/>
  <c r="AF2274" i="42"/>
  <c r="AF2273" i="42"/>
  <c r="AF2272" i="42"/>
  <c r="AF2271" i="42"/>
  <c r="AF2270" i="42"/>
  <c r="AF2269" i="42"/>
  <c r="AF2268" i="42"/>
  <c r="AF2267" i="42"/>
  <c r="AF2266" i="42"/>
  <c r="AF2265" i="42"/>
  <c r="AF2264" i="42"/>
  <c r="AF2263" i="42"/>
  <c r="AF2262" i="42"/>
  <c r="AF2261" i="42"/>
  <c r="AF2260" i="42"/>
  <c r="AF2259" i="42"/>
  <c r="AF2258" i="42"/>
  <c r="AF2257" i="42"/>
  <c r="AF2256" i="42"/>
  <c r="AF2255" i="42"/>
  <c r="AF2254" i="42"/>
  <c r="AF2253" i="42"/>
  <c r="AF2252" i="42"/>
  <c r="AF2251" i="42"/>
  <c r="AF2250" i="42"/>
  <c r="AF2249" i="42"/>
  <c r="AF2248" i="42"/>
  <c r="AF2247" i="42"/>
  <c r="AF2246" i="42"/>
  <c r="AF2245" i="42"/>
  <c r="AF2244" i="42"/>
  <c r="AF2243" i="42"/>
  <c r="AF2242" i="42"/>
  <c r="AF2241" i="42"/>
  <c r="AF2240" i="42"/>
  <c r="AF2239" i="42"/>
  <c r="AF2238" i="42"/>
  <c r="AF2237" i="42"/>
  <c r="AF2236" i="42"/>
  <c r="AF2235" i="42"/>
  <c r="AF2234" i="42"/>
  <c r="AF2233" i="42"/>
  <c r="AF2232" i="42"/>
  <c r="AF2231" i="42"/>
  <c r="AF2230" i="42"/>
  <c r="AF2229" i="42"/>
  <c r="AF2228" i="42"/>
  <c r="AF2227" i="42"/>
  <c r="AF2226" i="42"/>
  <c r="AF2225" i="42"/>
  <c r="AF2224" i="42"/>
  <c r="AF2223" i="42"/>
  <c r="AF2222" i="42"/>
  <c r="AF2221" i="42"/>
  <c r="AF2220" i="42"/>
  <c r="AF2219" i="42"/>
  <c r="AF2218" i="42"/>
  <c r="AF2217" i="42"/>
  <c r="AF2216" i="42"/>
  <c r="AF2215" i="42"/>
  <c r="AF2214" i="42"/>
  <c r="AF2213" i="42"/>
  <c r="AF2212" i="42"/>
  <c r="AF2211" i="42"/>
  <c r="AF2210" i="42"/>
  <c r="AF2209" i="42"/>
  <c r="AF2208" i="42"/>
  <c r="AF2207" i="42"/>
  <c r="AF2206" i="42"/>
  <c r="AF2205" i="42"/>
  <c r="AF2204" i="42"/>
  <c r="AF2203" i="42"/>
  <c r="AF2202" i="42"/>
  <c r="AF2201" i="42"/>
  <c r="AF2200" i="42"/>
  <c r="AF2199" i="42"/>
  <c r="AF2198" i="42"/>
  <c r="AF2197" i="42"/>
  <c r="AF2196" i="42"/>
  <c r="AF2195" i="42"/>
  <c r="AF2194" i="42"/>
  <c r="AF2193" i="42"/>
  <c r="AF2192" i="42"/>
  <c r="AF2191" i="42"/>
  <c r="AF2190" i="42"/>
  <c r="AF2189" i="42"/>
  <c r="AF2188" i="42"/>
  <c r="AF2187" i="42"/>
  <c r="AF2186" i="42"/>
  <c r="AF2185" i="42"/>
  <c r="AF2184" i="42"/>
  <c r="AF2183" i="42"/>
  <c r="AF2182" i="42"/>
  <c r="AF2181" i="42"/>
  <c r="AF2180" i="42"/>
  <c r="AF2179" i="42"/>
  <c r="AF2178" i="42"/>
  <c r="AF2177" i="42"/>
  <c r="AF2176" i="42"/>
  <c r="AF2175" i="42"/>
  <c r="AF2174" i="42"/>
  <c r="AF2173" i="42"/>
  <c r="AF2172" i="42"/>
  <c r="AF2171" i="42"/>
  <c r="AF2170" i="42"/>
  <c r="AF2169" i="42"/>
  <c r="AF2168" i="42"/>
  <c r="AF2167" i="42"/>
  <c r="AF2166" i="42"/>
  <c r="AF2165" i="42"/>
  <c r="AF2164" i="42"/>
  <c r="AF2163" i="42"/>
  <c r="AF2162" i="42"/>
  <c r="AF2161" i="42"/>
  <c r="AF2160" i="42"/>
  <c r="AF2159" i="42"/>
  <c r="AF2158" i="42"/>
  <c r="AF2157" i="42"/>
  <c r="AF2156" i="42"/>
  <c r="AF2155" i="42"/>
  <c r="AF2154" i="42"/>
  <c r="AF2153" i="42"/>
  <c r="AF2152" i="42"/>
  <c r="AF2151" i="42"/>
  <c r="AF2150" i="42"/>
  <c r="AF2149" i="42"/>
  <c r="AF2148" i="42"/>
  <c r="AF2147" i="42"/>
  <c r="AF2146" i="42"/>
  <c r="AF2145" i="42"/>
  <c r="AF2144" i="42"/>
  <c r="AF2143" i="42"/>
  <c r="AF2142" i="42"/>
  <c r="AF2141" i="42"/>
  <c r="AF2140" i="42"/>
  <c r="AF2139" i="42"/>
  <c r="AF2138" i="42"/>
  <c r="AF2137" i="42"/>
  <c r="AF2136" i="42"/>
  <c r="AF2135" i="42"/>
  <c r="AF2134" i="42"/>
  <c r="AF2133" i="42"/>
  <c r="AF2132" i="42"/>
  <c r="AF2131" i="42"/>
  <c r="AF2130" i="42"/>
  <c r="AF2129" i="42"/>
  <c r="AF2128" i="42"/>
  <c r="AF2127" i="42"/>
  <c r="AF2126" i="42"/>
  <c r="AF2125" i="42"/>
  <c r="AF2124" i="42"/>
  <c r="AF2123" i="42"/>
  <c r="AF2122" i="42"/>
  <c r="AF2121" i="42"/>
  <c r="AF2120" i="42"/>
  <c r="AF2119" i="42"/>
  <c r="AF2118" i="42"/>
  <c r="AF2117" i="42"/>
  <c r="AF2116" i="42"/>
  <c r="AF2115" i="42"/>
  <c r="AF2114" i="42"/>
  <c r="AF2113" i="42"/>
  <c r="AF2112" i="42"/>
  <c r="AF2111" i="42"/>
  <c r="AF2110" i="42"/>
  <c r="AF2109" i="42"/>
  <c r="AF2108" i="42"/>
  <c r="AF2107" i="42"/>
  <c r="AF2106" i="42"/>
  <c r="AF2105" i="42"/>
  <c r="AF2104" i="42"/>
  <c r="AF2103" i="42"/>
  <c r="AF2102" i="42"/>
  <c r="AF2101" i="42"/>
  <c r="AF2100" i="42"/>
  <c r="AF2099" i="42"/>
  <c r="AF2098" i="42"/>
  <c r="AF2097" i="42"/>
  <c r="AF2096" i="42"/>
  <c r="AF2095" i="42"/>
  <c r="AF2094" i="42"/>
  <c r="AF2093" i="42"/>
  <c r="AF2092" i="42"/>
  <c r="AF2091" i="42"/>
  <c r="AF2090" i="42"/>
  <c r="AF2089" i="42"/>
  <c r="AF2088" i="42"/>
  <c r="AF2087" i="42"/>
  <c r="AF2086" i="42"/>
  <c r="AF2085" i="42"/>
  <c r="AF2084" i="42"/>
  <c r="AF2083" i="42"/>
  <c r="AF2082" i="42"/>
  <c r="AF2081" i="42"/>
  <c r="AF2080" i="42"/>
  <c r="AF2079" i="42"/>
  <c r="AF2078" i="42"/>
  <c r="AF2077" i="42"/>
  <c r="AF2076" i="42"/>
  <c r="AF2075" i="42"/>
  <c r="AF2074" i="42"/>
  <c r="AF2073" i="42"/>
  <c r="AF2072" i="42"/>
  <c r="AF2071" i="42"/>
  <c r="AF2070" i="42"/>
  <c r="AF2069" i="42"/>
  <c r="AF2068" i="42"/>
  <c r="AF2067" i="42"/>
  <c r="AF2066" i="42"/>
  <c r="AF2065" i="42"/>
  <c r="AF2064" i="42"/>
  <c r="AF2063" i="42"/>
  <c r="AF2062" i="42"/>
  <c r="AF2061" i="42"/>
  <c r="AF2060" i="42"/>
  <c r="AF2059" i="42"/>
  <c r="AF2058" i="42"/>
  <c r="AF2057" i="42"/>
  <c r="AF2056" i="42"/>
  <c r="AF2055" i="42"/>
  <c r="AF2054" i="42"/>
  <c r="AF2053" i="42"/>
  <c r="AF2052" i="42"/>
  <c r="AF2051" i="42"/>
  <c r="AF2050" i="42"/>
  <c r="AF2049" i="42"/>
  <c r="AF2048" i="42"/>
  <c r="AF2047" i="42"/>
  <c r="AF2046" i="42"/>
  <c r="AF2045" i="42"/>
  <c r="AF2044" i="42"/>
  <c r="AF2043" i="42"/>
  <c r="AF2042" i="42"/>
  <c r="AF2041" i="42"/>
  <c r="AF2040" i="42"/>
  <c r="AF2039" i="42"/>
  <c r="AF2038" i="42"/>
  <c r="AF2037" i="42"/>
  <c r="AF2036" i="42"/>
  <c r="AF2035" i="42"/>
  <c r="AF2034" i="42"/>
  <c r="AF2033" i="42"/>
  <c r="AF2032" i="42"/>
  <c r="AF2031" i="42"/>
  <c r="AF2030" i="42"/>
  <c r="AF2029" i="42"/>
  <c r="AF2028" i="42"/>
  <c r="AF2027" i="42"/>
  <c r="AF2026" i="42"/>
  <c r="AF2025" i="42"/>
  <c r="AF2024" i="42"/>
  <c r="AF2023" i="42"/>
  <c r="AF2022" i="42"/>
  <c r="AF2021" i="42"/>
  <c r="AF2020" i="42"/>
  <c r="AF2019" i="42"/>
  <c r="AF2018" i="42"/>
  <c r="AF2017" i="42"/>
  <c r="AF2016" i="42"/>
  <c r="AF2015" i="42"/>
  <c r="AF2014" i="42"/>
  <c r="AF2013" i="42"/>
  <c r="AF2012" i="42"/>
  <c r="AF2011" i="42"/>
  <c r="AF2010" i="42"/>
  <c r="AF2009" i="42"/>
  <c r="AF2008" i="42"/>
  <c r="AF2007" i="42"/>
  <c r="AF2006" i="42"/>
  <c r="AF2005" i="42"/>
  <c r="AF2004" i="42"/>
  <c r="AF2003" i="42"/>
  <c r="AF2002" i="42"/>
  <c r="AF2001" i="42"/>
  <c r="AF2000" i="42"/>
  <c r="AF1999" i="42"/>
  <c r="AF1998" i="42"/>
  <c r="AF1997" i="42"/>
  <c r="AF1996" i="42"/>
  <c r="AF1995" i="42"/>
  <c r="AF1994" i="42"/>
  <c r="AF1993" i="42"/>
  <c r="AF1992" i="42"/>
  <c r="AF1991" i="42"/>
  <c r="AF1990" i="42"/>
  <c r="AF1989" i="42"/>
  <c r="AF1988" i="42"/>
  <c r="AF1987" i="42"/>
  <c r="AF1986" i="42"/>
  <c r="AF1985" i="42"/>
  <c r="AF1984" i="42"/>
  <c r="AF1983" i="42"/>
  <c r="AF1982" i="42"/>
  <c r="AF1981" i="42"/>
  <c r="AF1980" i="42"/>
  <c r="AF1979" i="42"/>
  <c r="AF1978" i="42"/>
  <c r="AF1977" i="42"/>
  <c r="AF1976" i="42"/>
  <c r="AF1975" i="42"/>
  <c r="AF1974" i="42"/>
  <c r="AF1973" i="42"/>
  <c r="AF1972" i="42"/>
  <c r="AF1971" i="42"/>
  <c r="AF1970" i="42"/>
  <c r="AF1969" i="42"/>
  <c r="AF1968" i="42"/>
  <c r="AF1967" i="42"/>
  <c r="AF1966" i="42"/>
  <c r="AF1965" i="42"/>
  <c r="AF1964" i="42"/>
  <c r="AF1963" i="42"/>
  <c r="AF1962" i="42"/>
  <c r="AF1961" i="42"/>
  <c r="AF1960" i="42"/>
  <c r="AF1959" i="42"/>
  <c r="AF1958" i="42"/>
  <c r="AF1957" i="42"/>
  <c r="AF1956" i="42"/>
  <c r="AF1955" i="42"/>
  <c r="AF1954" i="42"/>
  <c r="AF1953" i="42"/>
  <c r="AF1952" i="42"/>
  <c r="AF1951" i="42"/>
  <c r="AF1950" i="42"/>
  <c r="AF1949" i="42"/>
  <c r="AF1948" i="42"/>
  <c r="AF1947" i="42"/>
  <c r="AF1946" i="42"/>
  <c r="AF1945" i="42"/>
  <c r="AF1944" i="42"/>
  <c r="AF1943" i="42"/>
  <c r="AF1942" i="42"/>
  <c r="AF1941" i="42"/>
  <c r="AF1940" i="42"/>
  <c r="AF1939" i="42"/>
  <c r="AF1938" i="42"/>
  <c r="AF1937" i="42"/>
  <c r="AF1936" i="42"/>
  <c r="AF1935" i="42"/>
  <c r="AF1934" i="42"/>
  <c r="AF1933" i="42"/>
  <c r="AF1932" i="42"/>
  <c r="AF1931" i="42"/>
  <c r="AF1930" i="42"/>
  <c r="AF1929" i="42"/>
  <c r="AF1928" i="42"/>
  <c r="AF1927" i="42"/>
  <c r="AF1926" i="42"/>
  <c r="AF1925" i="42"/>
  <c r="AF1924" i="42"/>
  <c r="AF1923" i="42"/>
  <c r="AF1922" i="42"/>
  <c r="AF1921" i="42"/>
  <c r="AF1920" i="42"/>
  <c r="AF1919" i="42"/>
  <c r="AF1918" i="42"/>
  <c r="AF1917" i="42"/>
  <c r="AF1916" i="42"/>
  <c r="AF1915" i="42"/>
  <c r="AF1914" i="42"/>
  <c r="AF1913" i="42"/>
  <c r="AF1912" i="42"/>
  <c r="AF1911" i="42"/>
  <c r="AF1910" i="42"/>
  <c r="AF1909" i="42"/>
  <c r="AF1908" i="42"/>
  <c r="AF1907" i="42"/>
  <c r="AF1906" i="42"/>
  <c r="AF1905" i="42"/>
  <c r="AF1904" i="42"/>
  <c r="AF1903" i="42"/>
  <c r="AF1902" i="42"/>
  <c r="AF1901" i="42"/>
  <c r="AF1900" i="42"/>
  <c r="AF1899" i="42"/>
  <c r="AF1898" i="42"/>
  <c r="AF1897" i="42"/>
  <c r="AF1896" i="42"/>
  <c r="AF1895" i="42"/>
  <c r="AF1894" i="42"/>
  <c r="AF1893" i="42"/>
  <c r="AF1892" i="42"/>
  <c r="AF1891" i="42"/>
  <c r="AF1890" i="42"/>
  <c r="AF1889" i="42"/>
  <c r="AF1888" i="42"/>
  <c r="AF1887" i="42"/>
  <c r="AF1886" i="42"/>
  <c r="AF1885" i="42"/>
  <c r="AF1884" i="42"/>
  <c r="AF1883" i="42"/>
  <c r="AF1882" i="42"/>
  <c r="AF1881" i="42"/>
  <c r="AF1880" i="42"/>
  <c r="AF1879" i="42"/>
  <c r="AF1878" i="42"/>
  <c r="AF1877" i="42"/>
  <c r="AF1876" i="42"/>
  <c r="AF1875" i="42"/>
  <c r="AF1874" i="42"/>
  <c r="AF1873" i="42"/>
  <c r="AF1872" i="42"/>
  <c r="AF1871" i="42"/>
  <c r="AF1870" i="42"/>
  <c r="AF1869" i="42"/>
  <c r="AF1868" i="42"/>
  <c r="AF1867" i="42"/>
  <c r="AF1866" i="42"/>
  <c r="AF1865" i="42"/>
  <c r="AF1864" i="42"/>
  <c r="AF1863" i="42"/>
  <c r="AF1862" i="42"/>
  <c r="AF1861" i="42"/>
  <c r="AF1860" i="42"/>
  <c r="AF1859" i="42"/>
  <c r="AF1858" i="42"/>
  <c r="AF1857" i="42"/>
  <c r="AF1856" i="42"/>
  <c r="AF1855" i="42"/>
  <c r="AF1854" i="42"/>
  <c r="AF1853" i="42"/>
  <c r="AF1852" i="42"/>
  <c r="AF1851" i="42"/>
  <c r="AF1850" i="42"/>
  <c r="AF1849" i="42"/>
  <c r="AF1848" i="42"/>
  <c r="AF1847" i="42"/>
  <c r="AF1846" i="42"/>
  <c r="AF1845" i="42"/>
  <c r="AF1844" i="42"/>
  <c r="AF1843" i="42"/>
  <c r="AF1842" i="42"/>
  <c r="AF1841" i="42"/>
  <c r="AF1840" i="42"/>
  <c r="AF1839" i="42"/>
  <c r="AF1838" i="42"/>
  <c r="AF1837" i="42"/>
  <c r="AF1836" i="42"/>
  <c r="AF1835" i="42"/>
  <c r="AF1834" i="42"/>
  <c r="AF1833" i="42"/>
  <c r="AF1832" i="42"/>
  <c r="AF1831" i="42"/>
  <c r="AF1830" i="42"/>
  <c r="AF1829" i="42"/>
  <c r="AF1828" i="42"/>
  <c r="AF1827" i="42"/>
  <c r="AF1826" i="42"/>
  <c r="AF1825" i="42"/>
  <c r="AF1824" i="42"/>
  <c r="AF1823" i="42"/>
  <c r="AF1822" i="42"/>
  <c r="AF1821" i="42"/>
  <c r="AF1820" i="42"/>
  <c r="AF1819" i="42"/>
  <c r="AF1818" i="42"/>
  <c r="AF1817" i="42"/>
  <c r="AF1816" i="42"/>
  <c r="AF1815" i="42"/>
  <c r="AF1814" i="42"/>
  <c r="AF1813" i="42"/>
  <c r="AF1812" i="42"/>
  <c r="AF1811" i="42"/>
  <c r="AF1810" i="42"/>
  <c r="AF1809" i="42"/>
  <c r="AF1808" i="42"/>
  <c r="AF1807" i="42"/>
  <c r="AF1806" i="42"/>
  <c r="AF1805" i="42"/>
  <c r="AF1804" i="42"/>
  <c r="AF1803" i="42"/>
  <c r="AF1802" i="42"/>
  <c r="AF1801" i="42"/>
  <c r="AF1800" i="42"/>
  <c r="AF1799" i="42"/>
  <c r="AF1798" i="42"/>
  <c r="AF1797" i="42"/>
  <c r="AF1796" i="42"/>
  <c r="AF1795" i="42"/>
  <c r="AF1794" i="42"/>
  <c r="AF1793" i="42"/>
  <c r="AF1792" i="42"/>
  <c r="AF1791" i="42"/>
  <c r="AF1790" i="42"/>
  <c r="AF1789" i="42"/>
  <c r="AF1788" i="42"/>
  <c r="AF1787" i="42"/>
  <c r="AF1786" i="42"/>
  <c r="AF1785" i="42"/>
  <c r="AF1784" i="42"/>
  <c r="AF1783" i="42"/>
  <c r="AF1782" i="42"/>
  <c r="AF1781" i="42"/>
  <c r="AF1780" i="42"/>
  <c r="AF1779" i="42"/>
  <c r="AF1778" i="42"/>
  <c r="AF1777" i="42"/>
  <c r="AF1776" i="42"/>
  <c r="AF1775" i="42"/>
  <c r="AF1774" i="42"/>
  <c r="AF1773" i="42"/>
  <c r="AF1772" i="42"/>
  <c r="AF1771" i="42"/>
  <c r="AF1770" i="42"/>
  <c r="AF1769" i="42"/>
  <c r="AF1768" i="42"/>
  <c r="AF1767" i="42"/>
  <c r="AF1766" i="42"/>
  <c r="AF1765" i="42"/>
  <c r="AF1764" i="42"/>
  <c r="AF1763" i="42"/>
  <c r="AF1762" i="42"/>
  <c r="AF1761" i="42"/>
  <c r="AF1760" i="42"/>
  <c r="AF1759" i="42"/>
  <c r="AF1758" i="42"/>
  <c r="AF1757" i="42"/>
  <c r="AF1756" i="42"/>
  <c r="AF1755" i="42"/>
  <c r="AF1754" i="42"/>
  <c r="AF1753" i="42"/>
  <c r="AF1752" i="42"/>
  <c r="AF1751" i="42"/>
  <c r="AF1750" i="42"/>
  <c r="AF1749" i="42"/>
  <c r="AF1748" i="42"/>
  <c r="AF1747" i="42"/>
  <c r="AF1746" i="42"/>
  <c r="AF1745" i="42"/>
  <c r="AF1744" i="42"/>
  <c r="AF1743" i="42"/>
  <c r="AF1742" i="42"/>
  <c r="AF1741" i="42"/>
  <c r="AF1740" i="42"/>
  <c r="AF1739" i="42"/>
  <c r="AF1738" i="42"/>
  <c r="AF1737" i="42"/>
  <c r="AF1736" i="42"/>
  <c r="AF1735" i="42"/>
  <c r="AF1734" i="42"/>
  <c r="AF1733" i="42"/>
  <c r="AF1732" i="42"/>
  <c r="AF1731" i="42"/>
  <c r="AF1730" i="42"/>
  <c r="AF1729" i="42"/>
  <c r="AF1728" i="42"/>
  <c r="AF1727" i="42"/>
  <c r="AF1726" i="42"/>
  <c r="AF1725" i="42"/>
  <c r="AF1724" i="42"/>
  <c r="AF1723" i="42"/>
  <c r="AF1722" i="42"/>
  <c r="AF1721" i="42"/>
  <c r="AF1720" i="42"/>
  <c r="AF1719" i="42"/>
  <c r="AF1718" i="42"/>
  <c r="AF1717" i="42"/>
  <c r="AF1716" i="42"/>
  <c r="AF1715" i="42"/>
  <c r="AF1714" i="42"/>
  <c r="AF1713" i="42"/>
  <c r="AF1712" i="42"/>
  <c r="AF1711" i="42"/>
  <c r="AF1710" i="42"/>
  <c r="AF1709" i="42"/>
  <c r="AF1708" i="42"/>
  <c r="AF1707" i="42"/>
  <c r="AF1706" i="42"/>
  <c r="AF1705" i="42"/>
  <c r="AF1704" i="42"/>
  <c r="AF1703" i="42"/>
  <c r="AF1702" i="42"/>
  <c r="AF1701" i="42"/>
  <c r="AF1700" i="42"/>
  <c r="AF1699" i="42"/>
  <c r="AF1698" i="42"/>
  <c r="AF1697" i="42"/>
  <c r="AF1696" i="42"/>
  <c r="AF1695" i="42"/>
  <c r="AF1694" i="42"/>
  <c r="AF1693" i="42"/>
  <c r="AF1692" i="42"/>
  <c r="AF1691" i="42"/>
  <c r="AF1690" i="42"/>
  <c r="AF1689" i="42"/>
  <c r="AF1688" i="42"/>
  <c r="AF1687" i="42"/>
  <c r="AF1686" i="42"/>
  <c r="AF1685" i="42"/>
  <c r="AF1684" i="42"/>
  <c r="AF1683" i="42"/>
  <c r="AF1682" i="42"/>
  <c r="AF1681" i="42"/>
  <c r="AF1680" i="42"/>
  <c r="AF1679" i="42"/>
  <c r="AF1678" i="42"/>
  <c r="AF1677" i="42"/>
  <c r="AF1676" i="42"/>
  <c r="AF1675" i="42"/>
  <c r="AF1674" i="42"/>
  <c r="AF1673" i="42"/>
  <c r="AF1672" i="42"/>
  <c r="AF1671" i="42"/>
  <c r="AF1670" i="42"/>
  <c r="AF1669" i="42"/>
  <c r="AF1668" i="42"/>
  <c r="AF1667" i="42"/>
  <c r="AF1666" i="42"/>
  <c r="AF1665" i="42"/>
  <c r="AF1664" i="42"/>
  <c r="AF1663" i="42"/>
  <c r="AF1662" i="42"/>
  <c r="AF1661" i="42"/>
  <c r="AF1660" i="42"/>
  <c r="AF1659" i="42"/>
  <c r="AF1658" i="42"/>
  <c r="AF1657" i="42"/>
  <c r="AF1656" i="42"/>
  <c r="AF1655" i="42"/>
  <c r="AF1654" i="42"/>
  <c r="AF1653" i="42"/>
  <c r="AF1652" i="42"/>
  <c r="AF1651" i="42"/>
  <c r="AF1650" i="42"/>
  <c r="AF1649" i="42"/>
  <c r="AF1648" i="42"/>
  <c r="AF1647" i="42"/>
  <c r="AF1646" i="42"/>
  <c r="AF1645" i="42"/>
  <c r="AF1644" i="42"/>
  <c r="AF1643" i="42"/>
  <c r="AF1642" i="42"/>
  <c r="AF1641" i="42"/>
  <c r="AF1640" i="42"/>
  <c r="AF1639" i="42"/>
  <c r="AF1638" i="42"/>
  <c r="AF1637" i="42"/>
  <c r="AF1636" i="42"/>
  <c r="AF1635" i="42"/>
  <c r="AF1634" i="42"/>
  <c r="AF1633" i="42"/>
  <c r="AF1632" i="42"/>
  <c r="AF1631" i="42"/>
  <c r="AF1630" i="42"/>
  <c r="AF1629" i="42"/>
  <c r="AF1628" i="42"/>
  <c r="AF1627" i="42"/>
  <c r="AF1626" i="42"/>
  <c r="AF1625" i="42"/>
  <c r="AF1624" i="42"/>
  <c r="AF1623" i="42"/>
  <c r="AF1622" i="42"/>
  <c r="AF1621" i="42"/>
  <c r="AF1620" i="42"/>
  <c r="AF1619" i="42"/>
  <c r="AF1618" i="42"/>
  <c r="AF1617" i="42"/>
  <c r="AF1616" i="42"/>
  <c r="AF1615" i="42"/>
  <c r="AF1614" i="42"/>
  <c r="AF1613" i="42"/>
  <c r="AF1612" i="42"/>
  <c r="AF1611" i="42"/>
  <c r="AF1610" i="42"/>
  <c r="AF1609" i="42"/>
  <c r="AF1608" i="42"/>
  <c r="AF1607" i="42"/>
  <c r="AF1606" i="42"/>
  <c r="AF1605" i="42"/>
  <c r="AF1604" i="42"/>
  <c r="AF1603" i="42"/>
  <c r="AF1602" i="42"/>
  <c r="AF1601" i="42"/>
  <c r="AF1600" i="42"/>
  <c r="AF1599" i="42"/>
  <c r="AF1598" i="42"/>
  <c r="AF1597" i="42"/>
  <c r="AF1596" i="42"/>
  <c r="AF1595" i="42"/>
  <c r="AF1594" i="42"/>
  <c r="AF1593" i="42"/>
  <c r="AF1592" i="42"/>
  <c r="AF1591" i="42"/>
  <c r="AF1590" i="42"/>
  <c r="AF1589" i="42"/>
  <c r="AF1588" i="42"/>
  <c r="AF1587" i="42"/>
  <c r="AF1586" i="42"/>
  <c r="AF1585" i="42"/>
  <c r="AF1584" i="42"/>
  <c r="AF1583" i="42"/>
  <c r="AF1582" i="42"/>
  <c r="AF1581" i="42"/>
  <c r="AF1580" i="42"/>
  <c r="AF1579" i="42"/>
  <c r="AF1578" i="42"/>
  <c r="AF1577" i="42"/>
  <c r="AF1576" i="42"/>
  <c r="AF1575" i="42"/>
  <c r="AF1574" i="42"/>
  <c r="AF1573" i="42"/>
  <c r="AF1572" i="42"/>
  <c r="AF1571" i="42"/>
  <c r="AF1570" i="42"/>
  <c r="AF1569" i="42"/>
  <c r="AF1568" i="42"/>
  <c r="AF1567" i="42"/>
  <c r="AF1566" i="42"/>
  <c r="AF1565" i="42"/>
  <c r="AF1564" i="42"/>
  <c r="AF1563" i="42"/>
  <c r="AF1562" i="42"/>
  <c r="AF1561" i="42"/>
  <c r="AF1560" i="42"/>
  <c r="AF1559" i="42"/>
  <c r="AF1558" i="42"/>
  <c r="AF1557" i="42"/>
  <c r="AF1556" i="42"/>
  <c r="AF1555" i="42"/>
  <c r="AF1554" i="42"/>
  <c r="AF1553" i="42"/>
  <c r="AF1552" i="42"/>
  <c r="AF1551" i="42"/>
  <c r="AF1550" i="42"/>
  <c r="AF1549" i="42"/>
  <c r="AF1548" i="42"/>
  <c r="AF1547" i="42"/>
  <c r="AF1546" i="42"/>
  <c r="AF1545" i="42"/>
  <c r="AF1544" i="42"/>
  <c r="AF1543" i="42"/>
  <c r="AF1542" i="42"/>
  <c r="AF1541" i="42"/>
  <c r="AF1540" i="42"/>
  <c r="AF1539" i="42"/>
  <c r="AF1538" i="42"/>
  <c r="AF1537" i="42"/>
  <c r="AF1536" i="42"/>
  <c r="AF1535" i="42"/>
  <c r="AF1534" i="42"/>
  <c r="AF1533" i="42"/>
  <c r="AF1532" i="42"/>
  <c r="AF1531" i="42"/>
  <c r="AF1530" i="42"/>
  <c r="AF1529" i="42"/>
  <c r="AF1528" i="42"/>
  <c r="AF1527" i="42"/>
  <c r="AF1526" i="42"/>
  <c r="AF1525" i="42"/>
  <c r="AF1524" i="42"/>
  <c r="AF1523" i="42"/>
  <c r="AF1522" i="42"/>
  <c r="AF1521" i="42"/>
  <c r="AF1520" i="42"/>
  <c r="AF1519" i="42"/>
  <c r="AF1518" i="42"/>
  <c r="AF1517" i="42"/>
  <c r="AF1516" i="42"/>
  <c r="AF1515" i="42"/>
  <c r="AF1514" i="42"/>
  <c r="AF1513" i="42"/>
  <c r="AF1512" i="42"/>
  <c r="AF1511" i="42"/>
  <c r="AF1510" i="42"/>
  <c r="AF1509" i="42"/>
  <c r="AF1508" i="42"/>
  <c r="AF1507" i="42"/>
  <c r="AF1506" i="42"/>
  <c r="AF1505" i="42"/>
  <c r="AF1504" i="42"/>
  <c r="AF1503" i="42"/>
  <c r="AF1502" i="42"/>
  <c r="AF1501" i="42"/>
  <c r="AF1500" i="42"/>
  <c r="AF1499" i="42"/>
  <c r="AF1498" i="42"/>
  <c r="AF1497" i="42"/>
  <c r="AF1496" i="42"/>
  <c r="AF1495" i="42"/>
  <c r="AF1494" i="42"/>
  <c r="AF1493" i="42"/>
  <c r="AF1492" i="42"/>
  <c r="AF1491" i="42"/>
  <c r="AF1490" i="42"/>
  <c r="AF1489" i="42"/>
  <c r="AF1488" i="42"/>
  <c r="AF1487" i="42"/>
  <c r="AF1486" i="42"/>
  <c r="AF1485" i="42"/>
  <c r="AF1484" i="42"/>
  <c r="AF1483" i="42"/>
  <c r="AF1482" i="42"/>
  <c r="AF1481" i="42"/>
  <c r="AF1480" i="42"/>
  <c r="AF1479" i="42"/>
  <c r="AF1478" i="42"/>
  <c r="AF1477" i="42"/>
  <c r="AF1476" i="42"/>
  <c r="AF1475" i="42"/>
  <c r="AF1474" i="42"/>
  <c r="AF1473" i="42"/>
  <c r="AF1472" i="42"/>
  <c r="AF1471" i="42"/>
  <c r="AF1470" i="42"/>
  <c r="AF1469" i="42"/>
  <c r="AF1468" i="42"/>
  <c r="AF1467" i="42"/>
  <c r="AF1466" i="42"/>
  <c r="AF1465" i="42"/>
  <c r="AF1464" i="42"/>
  <c r="AF1463" i="42"/>
  <c r="AF1462" i="42"/>
  <c r="AF1461" i="42"/>
  <c r="AF1460" i="42"/>
  <c r="AF1459" i="42"/>
  <c r="AF1458" i="42"/>
  <c r="AF1457" i="42"/>
  <c r="AF1456" i="42"/>
  <c r="AF1455" i="42"/>
  <c r="AF1454" i="42"/>
  <c r="AF1453" i="42"/>
  <c r="AF1452" i="42"/>
  <c r="AF1451" i="42"/>
  <c r="AF1450" i="42"/>
  <c r="AF1449" i="42"/>
  <c r="AF1448" i="42"/>
  <c r="AF1447" i="42"/>
  <c r="AF1446" i="42"/>
  <c r="AF1445" i="42"/>
  <c r="AF1444" i="42"/>
  <c r="AF1443" i="42"/>
  <c r="AF1442" i="42"/>
  <c r="AF1441" i="42"/>
  <c r="AF1440" i="42"/>
  <c r="AF1439" i="42"/>
  <c r="AF1438" i="42"/>
  <c r="AF1437" i="42"/>
  <c r="AF1436" i="42"/>
  <c r="AF1435" i="42"/>
  <c r="AF1434" i="42"/>
  <c r="AF1433" i="42"/>
  <c r="AF1432" i="42"/>
  <c r="AF1431" i="42"/>
  <c r="AF1430" i="42"/>
  <c r="AF1429" i="42"/>
  <c r="AF1428" i="42"/>
  <c r="AF1427" i="42"/>
  <c r="AF1426" i="42"/>
  <c r="AF1425" i="42"/>
  <c r="AF1424" i="42"/>
  <c r="AF1423" i="42"/>
  <c r="AF1422" i="42"/>
  <c r="AF1421" i="42"/>
  <c r="AF1420" i="42"/>
  <c r="AF1419" i="42"/>
  <c r="AF1418" i="42"/>
  <c r="AF1417" i="42"/>
  <c r="AF1416" i="42"/>
  <c r="AF1415" i="42"/>
  <c r="AF1414" i="42"/>
  <c r="AF1413" i="42"/>
  <c r="AF1412" i="42"/>
  <c r="AF1411" i="42"/>
  <c r="AF1410" i="42"/>
  <c r="AF1409" i="42"/>
  <c r="AF1408" i="42"/>
  <c r="AF1407" i="42"/>
  <c r="AF1406" i="42"/>
  <c r="AF1405" i="42"/>
  <c r="AF1404" i="42"/>
  <c r="AF1403" i="42"/>
  <c r="AF1402" i="42"/>
  <c r="AF1401" i="42"/>
  <c r="AF1400" i="42"/>
  <c r="AF1399" i="42"/>
  <c r="AF1398" i="42"/>
  <c r="AF1397" i="42"/>
  <c r="AF1396" i="42"/>
  <c r="AF1395" i="42"/>
  <c r="AF1394" i="42"/>
  <c r="AF1393" i="42"/>
  <c r="AF1392" i="42"/>
  <c r="AF1391" i="42"/>
  <c r="AF1390" i="42"/>
  <c r="AF1389" i="42"/>
  <c r="AF1388" i="42"/>
  <c r="AF1387" i="42"/>
  <c r="AF1386" i="42"/>
  <c r="AF1385" i="42"/>
  <c r="AF1384" i="42"/>
  <c r="AF1383" i="42"/>
  <c r="AF1382" i="42"/>
  <c r="AF1381" i="42"/>
  <c r="AF1380" i="42"/>
  <c r="AF1379" i="42"/>
  <c r="AF1378" i="42"/>
  <c r="AF1377" i="42"/>
  <c r="AF1376" i="42"/>
  <c r="AF1375" i="42"/>
  <c r="AF1374" i="42"/>
  <c r="AF1373" i="42"/>
  <c r="AF1372" i="42"/>
  <c r="AF1371" i="42"/>
  <c r="AF1370" i="42"/>
  <c r="AF1369" i="42"/>
  <c r="AF1368" i="42"/>
  <c r="AF1367" i="42"/>
  <c r="AF1366" i="42"/>
  <c r="AF1365" i="42"/>
  <c r="AF1364" i="42"/>
  <c r="AF1363" i="42"/>
  <c r="AF1362" i="42"/>
  <c r="AF1361" i="42"/>
  <c r="AF1360" i="42"/>
  <c r="AF1359" i="42"/>
  <c r="AF1358" i="42"/>
  <c r="AF1357" i="42"/>
  <c r="AF1356" i="42"/>
  <c r="AF1355" i="42"/>
  <c r="AF1354" i="42"/>
  <c r="AF1353" i="42"/>
  <c r="AF1352" i="42"/>
  <c r="AF1351" i="42"/>
  <c r="AF1350" i="42"/>
  <c r="AF1349" i="42"/>
  <c r="AF1348" i="42"/>
  <c r="AF1347" i="42"/>
  <c r="AF1346" i="42"/>
  <c r="AF1345" i="42"/>
  <c r="AF1344" i="42"/>
  <c r="AF1343" i="42"/>
  <c r="AF1342" i="42"/>
  <c r="AF1341" i="42"/>
  <c r="AF1340" i="42"/>
  <c r="AF1339" i="42"/>
  <c r="AF1338" i="42"/>
  <c r="AF1337" i="42"/>
  <c r="AF1336" i="42"/>
  <c r="AF1335" i="42"/>
  <c r="AF1334" i="42"/>
  <c r="AF1333" i="42"/>
  <c r="AF1332" i="42"/>
  <c r="AF1331" i="42"/>
  <c r="AF1330" i="42"/>
  <c r="AF1329" i="42"/>
  <c r="AF1328" i="42"/>
  <c r="AF1327" i="42"/>
  <c r="AF1326" i="42"/>
  <c r="AF1325" i="42"/>
  <c r="AF1324" i="42"/>
  <c r="AF1323" i="42"/>
  <c r="AF1322" i="42"/>
  <c r="AF1321" i="42"/>
  <c r="AF1320" i="42"/>
  <c r="AF1319" i="42"/>
  <c r="AF1318" i="42"/>
  <c r="AF1317" i="42"/>
  <c r="AF1316" i="42"/>
  <c r="AF1315" i="42"/>
  <c r="AF1314" i="42"/>
  <c r="AF1313" i="42"/>
  <c r="AF1312" i="42"/>
  <c r="AF1311" i="42"/>
  <c r="AF1310" i="42"/>
  <c r="AF1309" i="42"/>
  <c r="AF1308" i="42"/>
  <c r="AF1307" i="42"/>
  <c r="AF1306" i="42"/>
  <c r="AF1305" i="42"/>
  <c r="AF1304" i="42"/>
  <c r="AF1303" i="42"/>
  <c r="AF1302" i="42"/>
  <c r="AF1301" i="42"/>
  <c r="AF1300" i="42"/>
  <c r="AF1299" i="42"/>
  <c r="AF1298" i="42"/>
  <c r="AF1297" i="42"/>
  <c r="AF1296" i="42"/>
  <c r="AF1295" i="42"/>
  <c r="AF1294" i="42"/>
  <c r="AF1293" i="42"/>
  <c r="AF1292" i="42"/>
  <c r="AF1291" i="42"/>
  <c r="AF1290" i="42"/>
  <c r="AF1289" i="42"/>
  <c r="AF1288" i="42"/>
  <c r="AF1287" i="42"/>
  <c r="AF1286" i="42"/>
  <c r="AF1285" i="42"/>
  <c r="AF1284" i="42"/>
  <c r="AF1283" i="42"/>
  <c r="AF1282" i="42"/>
  <c r="AF1281" i="42"/>
  <c r="AF1280" i="42"/>
  <c r="AF1279" i="42"/>
  <c r="AF1278" i="42"/>
  <c r="AF1277" i="42"/>
  <c r="AF1276" i="42"/>
  <c r="AF1275" i="42"/>
  <c r="AF1274" i="42"/>
  <c r="AF1273" i="42"/>
  <c r="AF1272" i="42"/>
  <c r="AF1271" i="42"/>
  <c r="AF1270" i="42"/>
  <c r="AF1269" i="42"/>
  <c r="AF1268" i="42"/>
  <c r="AF1267" i="42"/>
  <c r="AF1266" i="42"/>
  <c r="AF1265" i="42"/>
  <c r="AF1264" i="42"/>
  <c r="AF1263" i="42"/>
  <c r="AF1262" i="42"/>
  <c r="AF1261" i="42"/>
  <c r="AF1260" i="42"/>
  <c r="AF1259" i="42"/>
  <c r="AF1258" i="42"/>
  <c r="AF1257" i="42"/>
  <c r="AF1256" i="42"/>
  <c r="AF1255" i="42"/>
  <c r="AF1254" i="42"/>
  <c r="AF1253" i="42"/>
  <c r="AF1252" i="42"/>
  <c r="AF1251" i="42"/>
  <c r="AF1250" i="42"/>
  <c r="AF1249" i="42"/>
  <c r="AF1248" i="42"/>
  <c r="AF1247" i="42"/>
  <c r="AF1246" i="42"/>
  <c r="AF1245" i="42"/>
  <c r="AF1244" i="42"/>
  <c r="AF1243" i="42"/>
  <c r="AF1242" i="42"/>
  <c r="AF1241" i="42"/>
  <c r="AF1240" i="42"/>
  <c r="AF1239" i="42"/>
  <c r="AF1238" i="42"/>
  <c r="AF1237" i="42"/>
  <c r="AF1236" i="42"/>
  <c r="AF1235" i="42"/>
  <c r="AF1234" i="42"/>
  <c r="AF1233" i="42"/>
  <c r="AF1232" i="42"/>
  <c r="AF1231" i="42"/>
  <c r="AF1230" i="42"/>
  <c r="AF1229" i="42"/>
  <c r="AF1228" i="42"/>
  <c r="AF1227" i="42"/>
  <c r="AF1226" i="42"/>
  <c r="AF1225" i="42"/>
  <c r="AF1224" i="42"/>
  <c r="AF1223" i="42"/>
  <c r="AF1222" i="42"/>
  <c r="AF1221" i="42"/>
  <c r="AF1220" i="42"/>
  <c r="AF1219" i="42"/>
  <c r="AF1218" i="42"/>
  <c r="AF1217" i="42"/>
  <c r="AF1216" i="42"/>
  <c r="AF1215" i="42"/>
  <c r="AF1214" i="42"/>
  <c r="AF1213" i="42"/>
  <c r="AF1212" i="42"/>
  <c r="AF1211" i="42"/>
  <c r="AF1210" i="42"/>
  <c r="AF1209" i="42"/>
  <c r="AF1208" i="42"/>
  <c r="AF1207" i="42"/>
  <c r="AF1206" i="42"/>
  <c r="AF1205" i="42"/>
  <c r="AF1204" i="42"/>
  <c r="AF1203" i="42"/>
  <c r="AF1202" i="42"/>
  <c r="AF1201" i="42"/>
  <c r="AF1200" i="42"/>
  <c r="AF1199" i="42"/>
  <c r="AF1198" i="42"/>
  <c r="AF1197" i="42"/>
  <c r="AF1196" i="42"/>
  <c r="AF1195" i="42"/>
  <c r="AF1194" i="42"/>
  <c r="AF1193" i="42"/>
  <c r="AF1192" i="42"/>
  <c r="AF1191" i="42"/>
  <c r="AF1190" i="42"/>
  <c r="AF1189" i="42"/>
  <c r="AF1188" i="42"/>
  <c r="AF1187" i="42"/>
  <c r="AF1186" i="42"/>
  <c r="AF1185" i="42"/>
  <c r="AF1184" i="42"/>
  <c r="AF1183" i="42"/>
  <c r="AF1182" i="42"/>
  <c r="AF1181" i="42"/>
  <c r="AF1180" i="42"/>
  <c r="AF1179" i="42"/>
  <c r="AF1178" i="42"/>
  <c r="AF1177" i="42"/>
  <c r="AF1176" i="42"/>
  <c r="AF1175" i="42"/>
  <c r="AF1174" i="42"/>
  <c r="AF1173" i="42"/>
  <c r="AF1172" i="42"/>
  <c r="AF1171" i="42"/>
  <c r="AF1170" i="42"/>
  <c r="AF1169" i="42"/>
  <c r="AF1168" i="42"/>
  <c r="AF1167" i="42"/>
  <c r="AF1166" i="42"/>
  <c r="AF1165" i="42"/>
  <c r="AF1164" i="42"/>
  <c r="AF1163" i="42"/>
  <c r="AF1162" i="42"/>
  <c r="AF1161" i="42"/>
  <c r="AF1160" i="42"/>
  <c r="AF1159" i="42"/>
  <c r="AF1158" i="42"/>
  <c r="AF1157" i="42"/>
  <c r="AF1156" i="42"/>
  <c r="AF1155" i="42"/>
  <c r="AF1154" i="42"/>
  <c r="AF1153" i="42"/>
  <c r="AF1152" i="42"/>
  <c r="AF1151" i="42"/>
  <c r="AF1150" i="42"/>
  <c r="AF1149" i="42"/>
  <c r="AF1148" i="42"/>
  <c r="AF1147" i="42"/>
  <c r="AF1146" i="42"/>
  <c r="AF1145" i="42"/>
  <c r="AF1144" i="42"/>
  <c r="AF1143" i="42"/>
  <c r="AF1142" i="42"/>
  <c r="AF1141" i="42"/>
  <c r="AF1140" i="42"/>
  <c r="AF1139" i="42"/>
  <c r="AF1138" i="42"/>
  <c r="AF1137" i="42"/>
  <c r="AF1136" i="42"/>
  <c r="AF1135" i="42"/>
  <c r="AF1134" i="42"/>
  <c r="AF1133" i="42"/>
  <c r="AF1132" i="42"/>
  <c r="AF1131" i="42"/>
  <c r="AF1130" i="42"/>
  <c r="AF1129" i="42"/>
  <c r="AF1128" i="42"/>
  <c r="AF1127" i="42"/>
  <c r="AF1126" i="42"/>
  <c r="AF1125" i="42"/>
  <c r="AF1124" i="42"/>
  <c r="AF1123" i="42"/>
  <c r="AF1122" i="42"/>
  <c r="AF1121" i="42"/>
  <c r="AF1120" i="42"/>
  <c r="AF1119" i="42"/>
  <c r="AF1118" i="42"/>
  <c r="AF1117" i="42"/>
  <c r="AF1116" i="42"/>
  <c r="AF1115" i="42"/>
  <c r="AF1114" i="42"/>
  <c r="AF1113" i="42"/>
  <c r="AF1112" i="42"/>
  <c r="AF1111" i="42"/>
  <c r="AF1110" i="42"/>
  <c r="AF1109" i="42"/>
  <c r="AF1108" i="42"/>
  <c r="AF1107" i="42"/>
  <c r="AF1106" i="42"/>
  <c r="AF1105" i="42"/>
  <c r="AF1104" i="42"/>
  <c r="AF1103" i="42"/>
  <c r="AF1102" i="42"/>
  <c r="AF1101" i="42"/>
  <c r="AF1100" i="42"/>
  <c r="AF1099" i="42"/>
  <c r="AF1098" i="42"/>
  <c r="AF1097" i="42"/>
  <c r="AF1096" i="42"/>
  <c r="AF1095" i="42"/>
  <c r="AF1094" i="42"/>
  <c r="AF1093" i="42"/>
  <c r="AF1092" i="42"/>
  <c r="AF1091" i="42"/>
  <c r="AF1090" i="42"/>
  <c r="AF1089" i="42"/>
  <c r="AF1088" i="42"/>
  <c r="AF1087" i="42"/>
  <c r="AF1086" i="42"/>
  <c r="AF1085" i="42"/>
  <c r="AF1084" i="42"/>
  <c r="AF1083" i="42"/>
  <c r="AF1082" i="42"/>
  <c r="AF1081" i="42"/>
  <c r="AF1080" i="42"/>
  <c r="AF1079" i="42"/>
  <c r="AF1078" i="42"/>
  <c r="AF1077" i="42"/>
  <c r="AF1076" i="42"/>
  <c r="AF1075" i="42"/>
  <c r="AF1074" i="42"/>
  <c r="AF1073" i="42"/>
  <c r="AF1072" i="42"/>
  <c r="AF1071" i="42"/>
  <c r="AF1070" i="42"/>
  <c r="AF1069" i="42"/>
  <c r="AF1068" i="42"/>
  <c r="AF1067" i="42"/>
  <c r="AF1066" i="42"/>
  <c r="AF1065" i="42"/>
  <c r="AF1064" i="42"/>
  <c r="AF1063" i="42"/>
  <c r="AF1062" i="42"/>
  <c r="AF1061" i="42"/>
  <c r="AF1060" i="42"/>
  <c r="AF1059" i="42"/>
  <c r="AF1058" i="42"/>
  <c r="AF1057" i="42"/>
  <c r="AF1056" i="42"/>
  <c r="AF1055" i="42"/>
  <c r="AF1054" i="42"/>
  <c r="AF1053" i="42"/>
  <c r="AF1052" i="42"/>
  <c r="AF1051" i="42"/>
  <c r="AF1050" i="42"/>
  <c r="AF1049" i="42"/>
  <c r="AF1048" i="42"/>
  <c r="AF1047" i="42"/>
  <c r="AF1046" i="42"/>
  <c r="AF1045" i="42"/>
  <c r="AF1044" i="42"/>
  <c r="AF1043" i="42"/>
  <c r="AF1042" i="42"/>
  <c r="AF1041" i="42"/>
  <c r="AF1040" i="42"/>
  <c r="AF1039" i="42"/>
  <c r="AF1038" i="42"/>
  <c r="AF1037" i="42"/>
  <c r="AF1036" i="42"/>
  <c r="AF1035" i="42"/>
  <c r="AF1034" i="42"/>
  <c r="AF1033" i="42"/>
  <c r="AF1032" i="42"/>
  <c r="AF1031" i="42"/>
  <c r="AF1030" i="42"/>
  <c r="AF1029" i="42"/>
  <c r="AF1028" i="42"/>
  <c r="AF1027" i="42"/>
  <c r="AF1026" i="42"/>
  <c r="AF1025" i="42"/>
  <c r="AF1024" i="42"/>
  <c r="AF1023" i="42"/>
  <c r="AF1022" i="42"/>
  <c r="AF1021" i="42"/>
  <c r="AF1020" i="42"/>
  <c r="AF1019" i="42"/>
  <c r="AF1018" i="42"/>
  <c r="AF1017" i="42"/>
  <c r="AF1016" i="42"/>
  <c r="AF1015" i="42"/>
  <c r="AF1014" i="42"/>
  <c r="AF1013" i="42"/>
  <c r="AF1012" i="42"/>
  <c r="AF1011" i="42"/>
  <c r="AF1010" i="42"/>
  <c r="AF1009" i="42"/>
  <c r="AF1008" i="42"/>
  <c r="AF1007" i="42"/>
  <c r="AF1006" i="42"/>
  <c r="AF1005" i="42"/>
  <c r="AF1004" i="42"/>
  <c r="AF1003" i="42"/>
  <c r="AF1002" i="42"/>
  <c r="AF1001" i="42"/>
  <c r="AF1000" i="42"/>
  <c r="AF999" i="42"/>
  <c r="AF998" i="42"/>
  <c r="AF997" i="42"/>
  <c r="AF996" i="42"/>
  <c r="AF995" i="42"/>
  <c r="AF994" i="42"/>
  <c r="AF993" i="42"/>
  <c r="AF992" i="42"/>
  <c r="AF991" i="42"/>
  <c r="AF990" i="42"/>
  <c r="AF989" i="42"/>
  <c r="AF988" i="42"/>
  <c r="AF987" i="42"/>
  <c r="AF986" i="42"/>
  <c r="AF985" i="42"/>
  <c r="AF984" i="42"/>
  <c r="AF983" i="42"/>
  <c r="AF982" i="42"/>
  <c r="AF981" i="42"/>
  <c r="AF980" i="42"/>
  <c r="AF979" i="42"/>
  <c r="AF978" i="42"/>
  <c r="AF977" i="42"/>
  <c r="AF976" i="42"/>
  <c r="AF975" i="42"/>
  <c r="AF974" i="42"/>
  <c r="AF973" i="42"/>
  <c r="AF972" i="42"/>
  <c r="AF971" i="42"/>
  <c r="AF970" i="42"/>
  <c r="AF969" i="42"/>
  <c r="AF968" i="42"/>
  <c r="AF967" i="42"/>
  <c r="AF966" i="42"/>
  <c r="AF965" i="42"/>
  <c r="AF964" i="42"/>
  <c r="AF963" i="42"/>
  <c r="AF962" i="42"/>
  <c r="AF961" i="42"/>
  <c r="AF960" i="42"/>
  <c r="AF959" i="42"/>
  <c r="AF958" i="42"/>
  <c r="AF957" i="42"/>
  <c r="AF956" i="42"/>
  <c r="AF955" i="42"/>
  <c r="AF954" i="42"/>
  <c r="AF953" i="42"/>
  <c r="AF952" i="42"/>
  <c r="AF951" i="42"/>
  <c r="AF950" i="42"/>
  <c r="AF949" i="42"/>
  <c r="AF948" i="42"/>
  <c r="AF947" i="42"/>
  <c r="AF946" i="42"/>
  <c r="AF945" i="42"/>
  <c r="AF944" i="42"/>
  <c r="AF943" i="42"/>
  <c r="AF942" i="42"/>
  <c r="AF941" i="42"/>
  <c r="AF940" i="42"/>
  <c r="AF939" i="42"/>
  <c r="AF938" i="42"/>
  <c r="AF937" i="42"/>
  <c r="AF936" i="42"/>
  <c r="AF935" i="42"/>
  <c r="AF934" i="42"/>
  <c r="AF933" i="42"/>
  <c r="AF932" i="42"/>
  <c r="AF931" i="42"/>
  <c r="AF930" i="42"/>
  <c r="AF929" i="42"/>
  <c r="AF928" i="42"/>
  <c r="AF927" i="42"/>
  <c r="AF926" i="42"/>
  <c r="AF925" i="42"/>
  <c r="AF924" i="42"/>
  <c r="AF923" i="42"/>
  <c r="AF922" i="42"/>
  <c r="AF921" i="42"/>
  <c r="AF920" i="42"/>
  <c r="AF919" i="42"/>
  <c r="AF918" i="42"/>
  <c r="AF917" i="42"/>
  <c r="AF916" i="42"/>
  <c r="AF915" i="42"/>
  <c r="AF914" i="42"/>
  <c r="AF913" i="42"/>
  <c r="AF912" i="42"/>
  <c r="AF911" i="42"/>
  <c r="AF910" i="42"/>
  <c r="AF909" i="42"/>
  <c r="AF908" i="42"/>
  <c r="AF907" i="42"/>
  <c r="AF906" i="42"/>
  <c r="AF905" i="42"/>
  <c r="AF904" i="42"/>
  <c r="AF903" i="42"/>
  <c r="AF902" i="42"/>
  <c r="AF901" i="42"/>
  <c r="AF900" i="42"/>
  <c r="AF899" i="42"/>
  <c r="AF898" i="42"/>
  <c r="AF897" i="42"/>
  <c r="AF896" i="42"/>
  <c r="AF895" i="42"/>
  <c r="AF894" i="42"/>
  <c r="AF893" i="42"/>
  <c r="AF892" i="42"/>
  <c r="AF891" i="42"/>
  <c r="AF890" i="42"/>
  <c r="AF889" i="42"/>
  <c r="AF888" i="42"/>
  <c r="AF887" i="42"/>
  <c r="AF886" i="42"/>
  <c r="AF885" i="42"/>
  <c r="AF884" i="42"/>
  <c r="AF883" i="42"/>
  <c r="AF882" i="42"/>
  <c r="AF881" i="42"/>
  <c r="AF880" i="42"/>
  <c r="AF879" i="42"/>
  <c r="AF878" i="42"/>
  <c r="AF877" i="42"/>
  <c r="AF876" i="42"/>
  <c r="AF875" i="42"/>
  <c r="AF874" i="42"/>
  <c r="AF873" i="42"/>
  <c r="AF872" i="42"/>
  <c r="AF871" i="42"/>
  <c r="AF870" i="42"/>
  <c r="AF869" i="42"/>
  <c r="AF868" i="42"/>
  <c r="AF867" i="42"/>
  <c r="AF866" i="42"/>
  <c r="AF865" i="42"/>
  <c r="AF864" i="42"/>
  <c r="AF863" i="42"/>
  <c r="AF862" i="42"/>
  <c r="AF861" i="42"/>
  <c r="AF860" i="42"/>
  <c r="AF859" i="42"/>
  <c r="AF858" i="42"/>
  <c r="AF857" i="42"/>
  <c r="AF856" i="42"/>
  <c r="AF855" i="42"/>
  <c r="AF854" i="42"/>
  <c r="AF853" i="42"/>
  <c r="AF852" i="42"/>
  <c r="AF851" i="42"/>
  <c r="AF850" i="42"/>
  <c r="AF849" i="42"/>
  <c r="AF848" i="42"/>
  <c r="AF847" i="42"/>
  <c r="AF846" i="42"/>
  <c r="AF845" i="42"/>
  <c r="AF844" i="42"/>
  <c r="AF843" i="42"/>
  <c r="AF842" i="42"/>
  <c r="AF841" i="42"/>
  <c r="AF840" i="42"/>
  <c r="AF839" i="42"/>
  <c r="AF838" i="42"/>
  <c r="AF837" i="42"/>
  <c r="AF836" i="42"/>
  <c r="AF835" i="42"/>
  <c r="AF834" i="42"/>
  <c r="AF833" i="42"/>
  <c r="AF832" i="42"/>
  <c r="AF831" i="42"/>
  <c r="AF830" i="42"/>
  <c r="AF829" i="42"/>
  <c r="AF828" i="42"/>
  <c r="AF827" i="42"/>
  <c r="AF826" i="42"/>
  <c r="AF825" i="42"/>
  <c r="AF824" i="42"/>
  <c r="AF823" i="42"/>
  <c r="AF822" i="42"/>
  <c r="AF821" i="42"/>
  <c r="AF820" i="42"/>
  <c r="AF819" i="42"/>
  <c r="AF818" i="42"/>
  <c r="AF817" i="42"/>
  <c r="AF816" i="42"/>
  <c r="AF815" i="42"/>
  <c r="AF814" i="42"/>
  <c r="AF813" i="42"/>
  <c r="AF812" i="42"/>
  <c r="AF811" i="42"/>
  <c r="AF810" i="42"/>
  <c r="AF809" i="42"/>
  <c r="AF808" i="42"/>
  <c r="AF807" i="42"/>
  <c r="AF806" i="42"/>
  <c r="AF805" i="42"/>
  <c r="AF804" i="42"/>
  <c r="AF803" i="42"/>
  <c r="AF802" i="42"/>
  <c r="AF801" i="42"/>
  <c r="AF800" i="42"/>
  <c r="AF799" i="42"/>
  <c r="AF798" i="42"/>
  <c r="AF797" i="42"/>
  <c r="AF796" i="42"/>
  <c r="AF795" i="42"/>
  <c r="AF794" i="42"/>
  <c r="AF793" i="42"/>
  <c r="AF792" i="42"/>
  <c r="AF791" i="42"/>
  <c r="AF790" i="42"/>
  <c r="AF789" i="42"/>
  <c r="AF788" i="42"/>
  <c r="AF787" i="42"/>
  <c r="AF786" i="42"/>
  <c r="AF785" i="42"/>
  <c r="AF784" i="42"/>
  <c r="AF783" i="42"/>
  <c r="AF782" i="42"/>
  <c r="AF781" i="42"/>
  <c r="AF780" i="42"/>
  <c r="AF779" i="42"/>
  <c r="AF778" i="42"/>
  <c r="AF777" i="42"/>
  <c r="AF776" i="42"/>
  <c r="AF775" i="42"/>
  <c r="AF774" i="42"/>
  <c r="AF773" i="42"/>
  <c r="AF772" i="42"/>
  <c r="AF771" i="42"/>
  <c r="AF770" i="42"/>
  <c r="AF769" i="42"/>
  <c r="AF768" i="42"/>
  <c r="AF767" i="42"/>
  <c r="AF766" i="42"/>
  <c r="AF765" i="42"/>
  <c r="AF764" i="42"/>
  <c r="AF763" i="42"/>
  <c r="AF762" i="42"/>
  <c r="AF761" i="42"/>
  <c r="AF760" i="42"/>
  <c r="AF759" i="42"/>
  <c r="AF758" i="42"/>
  <c r="AF757" i="42"/>
  <c r="AF756" i="42"/>
  <c r="AF755" i="42"/>
  <c r="AF754" i="42"/>
  <c r="AF753" i="42"/>
  <c r="AF752" i="42"/>
  <c r="AF751" i="42"/>
  <c r="AF750" i="42"/>
  <c r="AF749" i="42"/>
  <c r="AF748" i="42"/>
  <c r="AF747" i="42"/>
  <c r="AF746" i="42"/>
  <c r="AF745" i="42"/>
  <c r="AF744" i="42"/>
  <c r="AF743" i="42"/>
  <c r="AF742" i="42"/>
  <c r="AF741" i="42"/>
  <c r="AF740" i="42"/>
  <c r="AF739" i="42"/>
  <c r="AF738" i="42"/>
  <c r="AF737" i="42"/>
  <c r="AF736" i="42"/>
  <c r="AF735" i="42"/>
  <c r="AF734" i="42"/>
  <c r="AF733" i="42"/>
  <c r="AF732" i="42"/>
  <c r="AF731" i="42"/>
  <c r="AF730" i="42"/>
  <c r="AF729" i="42"/>
  <c r="AF728" i="42"/>
  <c r="AF727" i="42"/>
  <c r="AF726" i="42"/>
  <c r="AF725" i="42"/>
  <c r="AF724" i="42"/>
  <c r="AF723" i="42"/>
  <c r="AF722" i="42"/>
  <c r="AF721" i="42"/>
  <c r="AF720" i="42"/>
  <c r="AF719" i="42"/>
  <c r="AF718" i="42"/>
  <c r="AF717" i="42"/>
  <c r="AF716" i="42"/>
  <c r="AF715" i="42"/>
  <c r="AF714" i="42"/>
  <c r="AF713" i="42"/>
  <c r="AF712" i="42"/>
  <c r="AF711" i="42"/>
  <c r="AF710" i="42"/>
  <c r="AF709" i="42"/>
  <c r="AF708" i="42"/>
  <c r="AF707" i="42"/>
  <c r="AF706" i="42"/>
  <c r="AF705" i="42"/>
  <c r="AF704" i="42"/>
  <c r="AF703" i="42"/>
  <c r="AF702" i="42"/>
  <c r="AF701" i="42"/>
  <c r="AF700" i="42"/>
  <c r="AF699" i="42"/>
  <c r="AF698" i="42"/>
  <c r="AF697" i="42"/>
  <c r="AF696" i="42"/>
  <c r="AF695" i="42"/>
  <c r="AF694" i="42"/>
  <c r="AF693" i="42"/>
  <c r="AF692" i="42"/>
  <c r="AF691" i="42"/>
  <c r="AF690" i="42"/>
  <c r="AF689" i="42"/>
  <c r="AF688" i="42"/>
  <c r="AF687" i="42"/>
  <c r="AF686" i="42"/>
  <c r="AF685" i="42"/>
  <c r="AF684" i="42"/>
  <c r="AF683" i="42"/>
  <c r="AF682" i="42"/>
  <c r="AF681" i="42"/>
  <c r="AF680" i="42"/>
  <c r="AF679" i="42"/>
  <c r="AF678" i="42"/>
  <c r="AF677" i="42"/>
  <c r="AF676" i="42"/>
  <c r="AF675" i="42"/>
  <c r="AF674" i="42"/>
  <c r="AF673" i="42"/>
  <c r="AF672" i="42"/>
  <c r="AF671" i="42"/>
  <c r="AF670" i="42"/>
  <c r="AF669" i="42"/>
  <c r="AF668" i="42"/>
  <c r="AF667" i="42"/>
  <c r="AF666" i="42"/>
  <c r="AF665" i="42"/>
  <c r="AF664" i="42"/>
  <c r="AF663" i="42"/>
  <c r="AF662" i="42"/>
  <c r="AF661" i="42"/>
  <c r="AF660" i="42"/>
  <c r="AF659" i="42"/>
  <c r="AF658" i="42"/>
  <c r="AF657" i="42"/>
  <c r="AF656" i="42"/>
  <c r="AF655" i="42"/>
  <c r="AF654" i="42"/>
  <c r="AF653" i="42"/>
  <c r="AF652" i="42"/>
  <c r="AF651" i="42"/>
  <c r="AF650" i="42"/>
  <c r="AF649" i="42"/>
  <c r="AF648" i="42"/>
  <c r="AF647" i="42"/>
  <c r="AF646" i="42"/>
  <c r="AF645" i="42"/>
  <c r="AF644" i="42"/>
  <c r="AF643" i="42"/>
  <c r="AF642" i="42"/>
  <c r="AF641" i="42"/>
  <c r="AF640" i="42"/>
  <c r="AF639" i="42"/>
  <c r="AF638" i="42"/>
  <c r="AF637" i="42"/>
  <c r="AF636" i="42"/>
  <c r="AF635" i="42"/>
  <c r="AF634" i="42"/>
  <c r="AF633" i="42"/>
  <c r="AF632" i="42"/>
  <c r="AF631" i="42"/>
  <c r="AF630" i="42"/>
  <c r="AF629" i="42"/>
  <c r="AF628" i="42"/>
  <c r="AF627" i="42"/>
  <c r="AF626" i="42"/>
  <c r="AF625" i="42"/>
  <c r="AF624" i="42"/>
  <c r="AF623" i="42"/>
  <c r="AF622" i="42"/>
  <c r="AF621" i="42"/>
  <c r="AF620" i="42"/>
  <c r="AF619" i="42"/>
  <c r="AF618" i="42"/>
  <c r="AF617" i="42"/>
  <c r="AF616" i="42"/>
  <c r="AF615" i="42"/>
  <c r="AF614" i="42"/>
  <c r="AF613" i="42"/>
  <c r="AF612" i="42"/>
  <c r="AF611" i="42"/>
  <c r="AF610" i="42"/>
  <c r="AF609" i="42"/>
  <c r="AF608" i="42"/>
  <c r="AF607" i="42"/>
  <c r="AF606" i="42"/>
  <c r="AF605" i="42"/>
  <c r="AF604" i="42"/>
  <c r="AF603" i="42"/>
  <c r="AF602" i="42"/>
  <c r="AF601" i="42"/>
  <c r="AF600" i="42"/>
  <c r="AF599" i="42"/>
  <c r="AF598" i="42"/>
  <c r="AF597" i="42"/>
  <c r="AF596" i="42"/>
  <c r="AF595" i="42"/>
  <c r="AF594" i="42"/>
  <c r="AF593" i="42"/>
  <c r="AF592" i="42"/>
  <c r="AF591" i="42"/>
  <c r="AF590" i="42"/>
  <c r="AF589" i="42"/>
  <c r="AF588" i="42"/>
  <c r="AF587" i="42"/>
  <c r="AF586" i="42"/>
  <c r="AF585" i="42"/>
  <c r="AF584" i="42"/>
  <c r="AF583" i="42"/>
  <c r="AF582" i="42"/>
  <c r="AF581" i="42"/>
  <c r="AF580" i="42"/>
  <c r="AF579" i="42"/>
  <c r="AF578" i="42"/>
  <c r="AF577" i="42"/>
  <c r="AF576" i="42"/>
  <c r="AF575" i="42"/>
  <c r="AF574" i="42"/>
  <c r="AF573" i="42"/>
  <c r="AF572" i="42"/>
  <c r="AF571" i="42"/>
  <c r="AF570" i="42"/>
  <c r="AF569" i="42"/>
  <c r="AF568" i="42"/>
  <c r="AF567" i="42"/>
  <c r="AF566" i="42"/>
  <c r="AF565" i="42"/>
  <c r="AF564" i="42"/>
  <c r="AF563" i="42"/>
  <c r="AF562" i="42"/>
  <c r="AF561" i="42"/>
  <c r="AF560" i="42"/>
  <c r="AF559" i="42"/>
  <c r="AF558" i="42"/>
  <c r="AF557" i="42"/>
  <c r="AF556" i="42"/>
  <c r="AF555" i="42"/>
  <c r="AF554" i="42"/>
  <c r="AF553" i="42"/>
  <c r="AF552" i="42"/>
  <c r="AF551" i="42"/>
  <c r="AF550" i="42"/>
  <c r="AF549" i="42"/>
  <c r="AF548" i="42"/>
  <c r="AF547" i="42"/>
  <c r="AF546" i="42"/>
  <c r="AF545" i="42"/>
  <c r="AF544" i="42"/>
  <c r="AF543" i="42"/>
  <c r="AF542" i="42"/>
  <c r="AF541" i="42"/>
  <c r="AF540" i="42"/>
  <c r="AF539" i="42"/>
  <c r="AF538" i="42"/>
  <c r="AF537" i="42"/>
  <c r="AF536" i="42"/>
  <c r="AF535" i="42"/>
  <c r="AF534" i="42"/>
  <c r="AF533" i="42"/>
  <c r="AF532" i="42"/>
  <c r="AF531" i="42"/>
  <c r="AF530" i="42"/>
  <c r="AF529" i="42"/>
  <c r="AF528" i="42"/>
  <c r="AF527" i="42"/>
  <c r="AF526" i="42"/>
  <c r="AF525" i="42"/>
  <c r="AF524" i="42"/>
  <c r="AF523" i="42"/>
  <c r="AF522" i="42"/>
  <c r="AF521" i="42"/>
  <c r="AF520" i="42"/>
  <c r="AF519" i="42"/>
  <c r="AF518" i="42"/>
  <c r="AF517" i="42"/>
  <c r="AF516" i="42"/>
  <c r="AF515" i="42"/>
  <c r="AF514" i="42"/>
  <c r="AF513" i="42"/>
  <c r="AF512" i="42"/>
  <c r="AF511" i="42"/>
  <c r="AF510" i="42"/>
  <c r="AF509" i="42"/>
  <c r="AF508" i="42"/>
  <c r="AF507" i="42"/>
  <c r="AF506" i="42"/>
  <c r="AF505" i="42"/>
  <c r="AF504" i="42"/>
  <c r="AF503" i="42"/>
  <c r="AF502" i="42"/>
  <c r="AF501" i="42"/>
  <c r="AF500" i="42"/>
  <c r="AF499" i="42"/>
  <c r="AF498" i="42"/>
  <c r="AF497" i="42"/>
  <c r="AF496" i="42"/>
  <c r="AF495" i="42"/>
  <c r="AF494" i="42"/>
  <c r="AF493" i="42"/>
  <c r="AF492" i="42"/>
  <c r="AF491" i="42"/>
  <c r="AF490" i="42"/>
  <c r="AF489" i="42"/>
  <c r="AF488" i="42"/>
  <c r="AF487" i="42"/>
  <c r="AF486" i="42"/>
  <c r="AF485" i="42"/>
  <c r="AF484" i="42"/>
  <c r="AF483" i="42"/>
  <c r="AF482" i="42"/>
  <c r="AF481" i="42"/>
  <c r="AF480" i="42"/>
  <c r="AF479" i="42"/>
  <c r="AF478" i="42"/>
  <c r="AF477" i="42"/>
  <c r="AF476" i="42"/>
  <c r="AF475" i="42"/>
  <c r="AF474" i="42"/>
  <c r="AF473" i="42"/>
  <c r="AF472" i="42"/>
  <c r="AF471" i="42"/>
  <c r="AF470" i="42"/>
  <c r="AF469" i="42"/>
  <c r="AF468" i="42"/>
  <c r="AF467" i="42"/>
  <c r="AF466" i="42"/>
  <c r="AF465" i="42"/>
  <c r="AF464" i="42"/>
  <c r="AF463" i="42"/>
  <c r="AF462" i="42"/>
  <c r="AF461" i="42"/>
  <c r="AF460" i="42"/>
  <c r="AF459" i="42"/>
  <c r="AF458" i="42"/>
  <c r="AF457" i="42"/>
  <c r="AF456" i="42"/>
  <c r="AF455" i="42"/>
  <c r="AF454" i="42"/>
  <c r="AF453" i="42"/>
  <c r="AF452" i="42"/>
  <c r="AF451" i="42"/>
  <c r="AF450" i="42"/>
  <c r="AF449" i="42"/>
  <c r="AF448" i="42"/>
  <c r="AF447" i="42"/>
  <c r="AF446" i="42"/>
  <c r="AF445" i="42"/>
  <c r="AF444" i="42"/>
  <c r="AF443" i="42"/>
  <c r="AF442" i="42"/>
  <c r="AF441" i="42"/>
  <c r="AF440" i="42"/>
  <c r="AF439" i="42"/>
  <c r="AF438" i="42"/>
  <c r="AF437" i="42"/>
  <c r="AF436" i="42"/>
  <c r="AF435" i="42"/>
  <c r="AF434" i="42"/>
  <c r="AF433" i="42"/>
  <c r="AF432" i="42"/>
  <c r="AF431" i="42"/>
  <c r="AF430" i="42"/>
  <c r="AF429" i="42"/>
  <c r="AF428" i="42"/>
  <c r="AF427" i="42"/>
  <c r="AF426" i="42"/>
  <c r="AF425" i="42"/>
  <c r="AF424" i="42"/>
  <c r="AF423" i="42"/>
  <c r="AF422" i="42"/>
  <c r="AF421" i="42"/>
  <c r="AF420" i="42"/>
  <c r="AF419" i="42"/>
  <c r="AF418" i="42"/>
  <c r="AF417" i="42"/>
  <c r="AF416" i="42"/>
  <c r="AF415" i="42"/>
  <c r="AF414" i="42"/>
  <c r="AF413" i="42"/>
  <c r="AF412" i="42"/>
  <c r="AF411" i="42"/>
  <c r="AF410" i="42"/>
  <c r="AF409" i="42"/>
  <c r="AF408" i="42"/>
  <c r="AF407" i="42"/>
  <c r="AF406" i="42"/>
  <c r="AF405" i="42"/>
  <c r="AF404" i="42"/>
  <c r="AF403" i="42"/>
  <c r="AF402" i="42"/>
  <c r="AF401" i="42"/>
  <c r="AF400" i="42"/>
  <c r="AF399" i="42"/>
  <c r="AF398" i="42"/>
  <c r="AF397" i="42"/>
  <c r="AF396" i="42"/>
  <c r="AF395" i="42"/>
  <c r="AF394" i="42"/>
  <c r="AF393" i="42"/>
  <c r="AF392" i="42"/>
  <c r="AF391" i="42"/>
  <c r="AF390" i="42"/>
  <c r="AF389" i="42"/>
  <c r="AF388" i="42"/>
  <c r="AF387" i="42"/>
  <c r="AF386" i="42"/>
  <c r="AF385" i="42"/>
  <c r="AF384" i="42"/>
  <c r="AF383" i="42"/>
  <c r="AF382" i="42"/>
  <c r="AF381" i="42"/>
  <c r="AF380" i="42"/>
  <c r="AF379" i="42"/>
  <c r="AF378" i="42"/>
  <c r="AF377" i="42"/>
  <c r="AF376" i="42"/>
  <c r="AF375" i="42"/>
  <c r="AF374" i="42"/>
  <c r="AF373" i="42"/>
  <c r="AF372" i="42"/>
  <c r="AF371" i="42"/>
  <c r="AF370" i="42"/>
  <c r="AF369" i="42"/>
  <c r="AF368" i="42"/>
  <c r="AF367" i="42"/>
  <c r="AF366" i="42"/>
  <c r="AF365" i="42"/>
  <c r="AF364" i="42"/>
  <c r="AF363" i="42"/>
  <c r="AF362" i="42"/>
  <c r="AF361" i="42"/>
  <c r="AF360" i="42"/>
  <c r="AF359" i="42"/>
  <c r="AF358" i="42"/>
  <c r="AF357" i="42"/>
  <c r="AF356" i="42"/>
  <c r="AF355" i="42"/>
  <c r="AF354" i="42"/>
  <c r="AF353" i="42"/>
  <c r="AF352" i="42"/>
  <c r="AF351" i="42"/>
  <c r="AF350" i="42"/>
  <c r="AF349" i="42"/>
  <c r="AF348" i="42"/>
  <c r="AF347" i="42"/>
  <c r="AF346" i="42"/>
  <c r="AF345" i="42"/>
  <c r="AF344" i="42"/>
  <c r="AF343" i="42"/>
  <c r="AF342" i="42"/>
  <c r="AF341" i="42"/>
  <c r="AF340" i="42"/>
  <c r="AF339" i="42"/>
  <c r="AF338" i="42"/>
  <c r="AF337" i="42"/>
  <c r="AF336" i="42"/>
  <c r="AF335" i="42"/>
  <c r="AF334" i="42"/>
  <c r="AF333" i="42"/>
  <c r="AF332" i="42"/>
  <c r="AF331" i="42"/>
  <c r="AF330" i="42"/>
  <c r="AF329" i="42"/>
  <c r="AF328" i="42"/>
  <c r="AF327" i="42"/>
  <c r="AF326" i="42"/>
  <c r="AF325" i="42"/>
  <c r="AF324" i="42"/>
  <c r="AF323" i="42"/>
  <c r="AF322" i="42"/>
  <c r="AF321" i="42"/>
  <c r="AF320" i="42"/>
  <c r="AF319" i="42"/>
  <c r="AF318" i="42"/>
  <c r="AF317" i="42"/>
  <c r="AF316" i="42"/>
  <c r="AF315" i="42"/>
  <c r="AF314" i="42"/>
  <c r="AF313" i="42"/>
  <c r="AF312" i="42"/>
  <c r="AF311" i="42"/>
  <c r="AF310" i="42"/>
  <c r="AF309" i="42"/>
  <c r="AF308" i="42"/>
  <c r="AF307" i="42"/>
  <c r="AF306" i="42"/>
  <c r="AF305" i="42"/>
  <c r="AF304" i="42"/>
  <c r="AF303" i="42"/>
  <c r="AF302" i="42"/>
  <c r="AF301" i="42"/>
  <c r="AF300" i="42"/>
  <c r="AF299" i="42"/>
  <c r="AF298" i="42"/>
  <c r="AF297" i="42"/>
  <c r="AF296" i="42"/>
  <c r="AF295" i="42"/>
  <c r="AF294" i="42"/>
  <c r="AF293" i="42"/>
  <c r="AF292" i="42"/>
  <c r="AF291" i="42"/>
  <c r="AF290" i="42"/>
  <c r="AF289" i="42"/>
  <c r="AF288" i="42"/>
  <c r="AF287" i="42"/>
  <c r="AF286" i="42"/>
  <c r="AF285" i="42"/>
  <c r="AF284" i="42"/>
  <c r="AF283" i="42"/>
  <c r="AF282" i="42"/>
  <c r="AF281" i="42"/>
  <c r="AF280" i="42"/>
  <c r="AF279" i="42"/>
  <c r="AF278" i="42"/>
  <c r="AF277" i="42"/>
  <c r="AF276" i="42"/>
  <c r="AF275" i="42"/>
  <c r="AF274" i="42"/>
  <c r="AF273" i="42"/>
  <c r="AF272" i="42"/>
  <c r="AF271" i="42"/>
  <c r="AF270" i="42"/>
  <c r="AF269" i="42"/>
  <c r="AF268" i="42"/>
  <c r="AF267" i="42"/>
  <c r="AF266" i="42"/>
  <c r="AF265" i="42"/>
  <c r="AF264" i="42"/>
  <c r="AF263" i="42"/>
  <c r="AF262" i="42"/>
  <c r="AF261" i="42"/>
  <c r="AF260" i="42"/>
  <c r="AF259" i="42"/>
  <c r="AF258" i="42"/>
  <c r="AF257" i="42"/>
  <c r="AF256" i="42"/>
  <c r="AF255" i="42"/>
  <c r="AF254" i="42"/>
  <c r="AF253" i="42"/>
  <c r="AF252" i="42"/>
  <c r="AF251" i="42"/>
  <c r="AF250" i="42"/>
  <c r="AF249" i="42"/>
  <c r="AF248" i="42"/>
  <c r="AF247" i="42"/>
  <c r="AF246" i="42"/>
  <c r="AF245" i="42"/>
  <c r="AF244" i="42"/>
  <c r="AF243" i="42"/>
  <c r="AF242" i="42"/>
  <c r="AF241" i="42"/>
  <c r="AF240" i="42"/>
  <c r="AF239" i="42"/>
  <c r="AF238" i="42"/>
  <c r="AF237" i="42"/>
  <c r="AF236" i="42"/>
  <c r="AF235" i="42"/>
  <c r="AF234" i="42"/>
  <c r="AF233" i="42"/>
  <c r="AF232" i="42"/>
  <c r="AF231" i="42"/>
  <c r="AF230" i="42"/>
  <c r="AF229" i="42"/>
  <c r="AF228" i="42"/>
  <c r="AF227" i="42"/>
  <c r="AF226" i="42"/>
  <c r="AF225" i="42"/>
  <c r="AF224" i="42"/>
  <c r="AF223" i="42"/>
  <c r="AF222" i="42"/>
  <c r="AF221" i="42"/>
  <c r="AF220" i="42"/>
  <c r="AF219" i="42"/>
  <c r="AF218" i="42"/>
  <c r="AF217" i="42"/>
  <c r="AF216" i="42"/>
  <c r="AF215" i="42"/>
  <c r="AF214" i="42"/>
  <c r="AF213" i="42"/>
  <c r="AF212" i="42"/>
  <c r="AF211" i="42"/>
  <c r="AF210" i="42"/>
  <c r="AF209" i="42"/>
  <c r="AF208" i="42"/>
  <c r="AF207" i="42"/>
  <c r="AF206" i="42"/>
  <c r="AF205" i="42"/>
  <c r="AF204" i="42"/>
  <c r="AF203" i="42"/>
  <c r="AF202" i="42"/>
  <c r="AF201" i="42"/>
  <c r="AF200" i="42"/>
  <c r="AF199" i="42"/>
  <c r="AF198" i="42"/>
  <c r="AF197" i="42"/>
  <c r="AF196" i="42"/>
  <c r="AF195" i="42"/>
  <c r="AF194" i="42"/>
  <c r="AF193" i="42"/>
  <c r="AF192" i="42"/>
  <c r="AF191" i="42"/>
  <c r="AF190" i="42"/>
  <c r="AF189" i="42"/>
  <c r="AF188" i="42"/>
  <c r="AF187" i="42"/>
  <c r="AF186" i="42"/>
  <c r="AF185" i="42"/>
  <c r="AF184" i="42"/>
  <c r="AF183" i="42"/>
  <c r="AF182" i="42"/>
  <c r="AF181" i="42"/>
  <c r="AF180" i="42"/>
  <c r="AF179" i="42"/>
  <c r="AF178" i="42"/>
  <c r="AF177" i="42"/>
  <c r="AF176" i="42"/>
  <c r="AF175" i="42"/>
  <c r="AF174" i="42"/>
  <c r="AF173" i="42"/>
  <c r="AF172" i="42"/>
  <c r="AF171" i="42"/>
  <c r="AF170" i="42"/>
  <c r="AF169" i="42"/>
  <c r="AF168" i="42"/>
  <c r="AF167" i="42"/>
  <c r="AF166" i="42"/>
  <c r="AF165" i="42"/>
  <c r="AF164" i="42"/>
  <c r="AF163" i="42"/>
  <c r="AF162" i="42"/>
  <c r="AF161" i="42"/>
  <c r="AF160" i="42"/>
  <c r="AF159" i="42"/>
  <c r="AF158" i="42"/>
  <c r="AF157" i="42"/>
  <c r="AF156" i="42"/>
  <c r="AF155" i="42"/>
  <c r="AF154" i="42"/>
  <c r="AF153" i="42"/>
  <c r="AF152" i="42"/>
  <c r="AF151" i="42"/>
  <c r="AF150" i="42"/>
  <c r="AF149" i="42"/>
  <c r="AF148" i="42"/>
  <c r="AF147" i="42"/>
  <c r="AF146" i="42"/>
  <c r="AF145" i="42"/>
  <c r="AF144" i="42"/>
  <c r="AF143" i="42"/>
  <c r="AF142" i="42"/>
  <c r="AF141" i="42"/>
  <c r="AF140" i="42"/>
  <c r="AF139" i="42"/>
  <c r="AF138" i="42"/>
  <c r="AF137" i="42"/>
  <c r="AF136" i="42"/>
  <c r="AF135" i="42"/>
  <c r="AF134" i="42"/>
  <c r="AF133" i="42"/>
  <c r="AF132" i="42"/>
  <c r="AF131" i="42"/>
  <c r="AF130" i="42"/>
  <c r="AF129" i="42"/>
  <c r="AF128" i="42"/>
  <c r="AF127" i="42"/>
  <c r="AF126" i="42"/>
  <c r="AF125" i="42"/>
  <c r="AF124" i="42"/>
  <c r="AF123" i="42"/>
  <c r="AF122" i="42"/>
  <c r="AF121" i="42"/>
  <c r="AF120" i="42"/>
  <c r="AF119" i="42"/>
  <c r="AF118" i="42"/>
  <c r="AF117" i="42"/>
  <c r="AF116" i="42"/>
  <c r="AF115" i="42"/>
  <c r="AF114" i="42"/>
  <c r="AF113" i="42"/>
  <c r="AF112" i="42"/>
  <c r="AF111" i="42"/>
  <c r="AF110" i="42"/>
  <c r="AF109" i="42"/>
  <c r="AF108" i="42"/>
  <c r="AF107" i="42"/>
  <c r="AF106" i="42"/>
  <c r="AF105" i="42"/>
  <c r="AF104" i="42"/>
  <c r="AF103" i="42"/>
  <c r="AF102" i="42"/>
  <c r="AF101" i="42"/>
  <c r="AF100" i="42"/>
  <c r="AF99" i="42"/>
  <c r="AF98" i="42"/>
  <c r="AF97" i="42"/>
  <c r="AF96" i="42"/>
  <c r="AF95" i="42"/>
  <c r="AF94" i="42"/>
  <c r="AF93" i="42"/>
  <c r="AF92" i="42"/>
  <c r="AF91" i="42"/>
  <c r="AF90" i="42"/>
  <c r="AF89" i="42"/>
  <c r="AF88" i="42"/>
  <c r="AF87" i="42"/>
  <c r="AF86" i="42"/>
  <c r="AF85" i="42"/>
  <c r="AF84" i="42"/>
  <c r="AF83" i="42"/>
  <c r="AF82" i="42"/>
  <c r="AF81" i="42"/>
  <c r="AF80" i="42"/>
  <c r="AF79" i="42"/>
  <c r="AF78" i="42"/>
  <c r="AF77" i="42"/>
  <c r="AF76" i="42"/>
  <c r="AF75" i="42"/>
  <c r="AF74" i="42"/>
  <c r="AF73" i="42"/>
  <c r="AF72" i="42"/>
  <c r="AF71" i="42"/>
  <c r="AF70" i="42"/>
  <c r="AF69" i="42"/>
  <c r="AF68" i="42"/>
  <c r="AF67" i="42"/>
  <c r="AF66" i="42"/>
  <c r="AF65" i="42"/>
  <c r="AF64" i="42"/>
  <c r="AF63" i="42"/>
  <c r="AF62" i="42"/>
  <c r="AF61" i="42"/>
  <c r="AF60" i="42"/>
  <c r="AF59" i="42"/>
  <c r="AF58" i="42"/>
  <c r="AF57" i="42"/>
  <c r="AF56" i="42"/>
  <c r="AF55" i="42"/>
  <c r="AF54" i="42"/>
  <c r="AF53" i="42"/>
  <c r="AF52" i="42"/>
  <c r="AF51" i="42"/>
  <c r="AF50" i="42"/>
  <c r="AF49" i="42"/>
  <c r="AF48" i="42"/>
  <c r="AF47" i="42"/>
  <c r="AF46" i="42"/>
  <c r="AF45" i="42"/>
  <c r="AF44" i="42"/>
  <c r="AF43" i="42"/>
  <c r="AF42" i="42"/>
  <c r="AF41" i="42"/>
  <c r="AF40" i="42"/>
  <c r="AF39" i="42"/>
  <c r="AF38" i="42"/>
  <c r="AF37" i="42"/>
  <c r="AF36" i="42"/>
  <c r="AF35" i="42"/>
  <c r="AF34" i="42"/>
  <c r="AF33" i="42"/>
  <c r="AF32" i="42"/>
  <c r="AF31" i="42"/>
  <c r="AF30" i="42"/>
  <c r="AF29" i="42"/>
  <c r="AF28" i="42"/>
  <c r="AF27" i="42"/>
  <c r="AF26" i="42"/>
  <c r="AF25" i="42"/>
  <c r="AF24" i="42"/>
  <c r="AF23" i="42"/>
  <c r="AF22" i="42"/>
  <c r="AF21" i="42"/>
  <c r="AF20" i="42"/>
  <c r="AF19" i="42"/>
  <c r="AF18" i="42"/>
  <c r="AF17" i="42"/>
  <c r="AF16" i="42"/>
  <c r="AF15" i="42"/>
  <c r="AF14" i="42"/>
  <c r="AF13" i="42"/>
  <c r="AF12" i="42"/>
  <c r="AF11" i="42"/>
  <c r="AF10" i="42"/>
  <c r="AF9" i="42"/>
  <c r="AF8" i="42"/>
  <c r="AF7" i="42"/>
  <c r="AF6" i="42"/>
  <c r="AF5" i="42"/>
  <c r="AF4" i="42"/>
  <c r="A90" i="2"/>
  <c r="A93" i="2" s="1"/>
  <c r="A94" i="2"/>
  <c r="A52" i="2"/>
  <c r="A35" i="2"/>
  <c r="A27" i="2"/>
  <c r="A68" i="2" s="1"/>
  <c r="A18" i="2"/>
  <c r="I193" i="42" l="1"/>
  <c r="I190" i="42"/>
  <c r="I194" i="42"/>
  <c r="I191" i="42"/>
  <c r="I195" i="42"/>
  <c r="D19" i="42" s="1" a="1"/>
  <c r="D19" i="42" s="1"/>
  <c r="D9" i="5" s="1"/>
  <c r="I192" i="42"/>
  <c r="D22" i="42" a="1"/>
  <c r="D22" i="42" s="1"/>
  <c r="D27" i="42" a="1"/>
  <c r="D27" i="42" s="1"/>
  <c r="D20" i="42" a="1"/>
  <c r="D20" i="42" s="1"/>
  <c r="D25" i="42" a="1"/>
  <c r="D25" i="42" s="1"/>
  <c r="D28" i="42" a="1"/>
  <c r="D28" i="42" s="1"/>
  <c r="D23" i="42" a="1"/>
  <c r="D23" i="42" s="1"/>
  <c r="D26" i="42" a="1"/>
  <c r="D26" i="42" s="1"/>
  <c r="D21" i="42" a="1"/>
  <c r="D21" i="42" s="1"/>
  <c r="D22" i="5" s="1"/>
  <c r="D24" i="42" a="1"/>
  <c r="D24" i="42" s="1"/>
  <c r="D25" i="5" s="1"/>
  <c r="I9" i="42"/>
  <c r="S9" i="42" s="1"/>
  <c r="I181" i="42"/>
  <c r="I185" i="42"/>
  <c r="S185" i="42" s="1"/>
  <c r="I189" i="42"/>
  <c r="S189" i="42" s="1"/>
  <c r="I182" i="42"/>
  <c r="I186" i="42"/>
  <c r="S186" i="42" s="1"/>
  <c r="I179" i="42"/>
  <c r="I183" i="42"/>
  <c r="S183" i="42" s="1"/>
  <c r="I187" i="42"/>
  <c r="S187" i="42" s="1"/>
  <c r="I180" i="42"/>
  <c r="I184" i="42"/>
  <c r="S184" i="42" s="1"/>
  <c r="I188" i="42"/>
  <c r="S188" i="42" s="1"/>
  <c r="O18" i="2"/>
  <c r="K27" i="2"/>
  <c r="M27" i="2"/>
  <c r="BC27" i="2"/>
  <c r="O27" i="2"/>
  <c r="A19" i="2"/>
  <c r="A36" i="2"/>
  <c r="A53" i="2"/>
  <c r="A28" i="2"/>
  <c r="A91" i="2"/>
  <c r="C28" i="42" a="1"/>
  <c r="C28" i="42" s="1"/>
  <c r="C27" i="42" a="1"/>
  <c r="C27" i="42" s="1"/>
  <c r="C26" i="42" a="1"/>
  <c r="C26" i="42" s="1"/>
  <c r="C23" i="42" a="1"/>
  <c r="C23" i="42" s="1"/>
  <c r="C22" i="42" a="1"/>
  <c r="C22" i="42" s="1"/>
  <c r="C25" i="42" a="1"/>
  <c r="C25" i="42" s="1"/>
  <c r="C24" i="42" a="1"/>
  <c r="C24" i="42" s="1"/>
  <c r="C21" i="42" a="1"/>
  <c r="C21" i="42" s="1"/>
  <c r="C20" i="42" a="1"/>
  <c r="C20" i="42" s="1"/>
  <c r="I16" i="42"/>
  <c r="S16" i="42" s="1"/>
  <c r="I4" i="42"/>
  <c r="S4" i="42" s="1"/>
  <c r="I7" i="42"/>
  <c r="S7" i="42" s="1"/>
  <c r="I14" i="42"/>
  <c r="S14" i="42" s="1"/>
  <c r="I64" i="42"/>
  <c r="S64" i="42" s="1"/>
  <c r="I13" i="42"/>
  <c r="S13" i="42" s="1"/>
  <c r="I39" i="42"/>
  <c r="S39" i="42" s="1"/>
  <c r="I55" i="42"/>
  <c r="S55" i="42" s="1"/>
  <c r="I141" i="42"/>
  <c r="T141" i="42" s="1"/>
  <c r="I11" i="42"/>
  <c r="S11" i="42" s="1"/>
  <c r="I177" i="42"/>
  <c r="I6" i="42"/>
  <c r="S6" i="42" s="1"/>
  <c r="I8" i="42"/>
  <c r="S8" i="42" s="1"/>
  <c r="I15" i="42"/>
  <c r="S15" i="42" s="1"/>
  <c r="I33" i="42"/>
  <c r="I38" i="42"/>
  <c r="S38" i="42" s="1"/>
  <c r="I40" i="42"/>
  <c r="S40" i="42" s="1"/>
  <c r="I47" i="42"/>
  <c r="S47" i="42" s="1"/>
  <c r="I49" i="42"/>
  <c r="I54" i="42"/>
  <c r="S54" i="42" s="1"/>
  <c r="I56" i="42"/>
  <c r="S56" i="42" s="1"/>
  <c r="I63" i="42"/>
  <c r="S63" i="42" s="1"/>
  <c r="I65" i="42"/>
  <c r="I92" i="42"/>
  <c r="S92" i="42" s="1"/>
  <c r="I32" i="42"/>
  <c r="S32" i="42" s="1"/>
  <c r="I28" i="42"/>
  <c r="S28" i="42" s="1"/>
  <c r="I24" i="42"/>
  <c r="S24" i="42" s="1"/>
  <c r="I20" i="42"/>
  <c r="S20" i="42" s="1"/>
  <c r="I48" i="42"/>
  <c r="S48" i="42" s="1"/>
  <c r="I57" i="42"/>
  <c r="I5" i="42"/>
  <c r="I10" i="42"/>
  <c r="S10" i="42" s="1"/>
  <c r="I12" i="42"/>
  <c r="S12" i="42" s="1"/>
  <c r="I35" i="42"/>
  <c r="S35" i="42" s="1"/>
  <c r="I37" i="42"/>
  <c r="I42" i="42"/>
  <c r="S42" i="42" s="1"/>
  <c r="I44" i="42"/>
  <c r="S44" i="42" s="1"/>
  <c r="I51" i="42"/>
  <c r="S51" i="42" s="1"/>
  <c r="I53" i="42"/>
  <c r="I58" i="42"/>
  <c r="S58" i="42" s="1"/>
  <c r="I60" i="42"/>
  <c r="S60" i="42" s="1"/>
  <c r="I67" i="42"/>
  <c r="S67" i="42" s="1"/>
  <c r="I69" i="42"/>
  <c r="S69" i="42" s="1"/>
  <c r="I71" i="42"/>
  <c r="S71" i="42" s="1"/>
  <c r="I73" i="42"/>
  <c r="S73" i="42" s="1"/>
  <c r="I75" i="42"/>
  <c r="T75" i="42" s="1"/>
  <c r="I77" i="42"/>
  <c r="S77" i="42" s="1"/>
  <c r="I31" i="42"/>
  <c r="I27" i="42"/>
  <c r="I23" i="42"/>
  <c r="I19" i="42"/>
  <c r="I46" i="42"/>
  <c r="S46" i="42" s="1"/>
  <c r="I62" i="42"/>
  <c r="S62" i="42" s="1"/>
  <c r="I30" i="42"/>
  <c r="S30" i="42" s="1"/>
  <c r="I26" i="42"/>
  <c r="S26" i="42" s="1"/>
  <c r="I22" i="42"/>
  <c r="S22" i="42" s="1"/>
  <c r="I18" i="42"/>
  <c r="S18" i="42" s="1"/>
  <c r="I41" i="42"/>
  <c r="I34" i="42"/>
  <c r="S34" i="42" s="1"/>
  <c r="I36" i="42"/>
  <c r="S36" i="42" s="1"/>
  <c r="I43" i="42"/>
  <c r="S43" i="42" s="1"/>
  <c r="I45" i="42"/>
  <c r="I50" i="42"/>
  <c r="S50" i="42" s="1"/>
  <c r="I52" i="42"/>
  <c r="S52" i="42" s="1"/>
  <c r="I59" i="42"/>
  <c r="S59" i="42" s="1"/>
  <c r="I61" i="42"/>
  <c r="I66" i="42"/>
  <c r="S66" i="42" s="1"/>
  <c r="I68" i="42"/>
  <c r="S68" i="42" s="1"/>
  <c r="I70" i="42"/>
  <c r="S70" i="42" s="1"/>
  <c r="I72" i="42"/>
  <c r="S72" i="42" s="1"/>
  <c r="I74" i="42"/>
  <c r="S74" i="42" s="1"/>
  <c r="I76" i="42"/>
  <c r="S76" i="42" s="1"/>
  <c r="I29" i="42"/>
  <c r="I25" i="42"/>
  <c r="I21" i="42"/>
  <c r="I17" i="42"/>
  <c r="T7" i="42"/>
  <c r="T15" i="42"/>
  <c r="T39" i="42"/>
  <c r="T47" i="42"/>
  <c r="T63" i="42"/>
  <c r="T11" i="42"/>
  <c r="T8" i="42"/>
  <c r="T177" i="42"/>
  <c r="S177" i="42"/>
  <c r="I145" i="42"/>
  <c r="I149" i="42"/>
  <c r="I153" i="42"/>
  <c r="I157" i="42"/>
  <c r="I161" i="42"/>
  <c r="I163" i="42"/>
  <c r="I165" i="42"/>
  <c r="I167" i="42"/>
  <c r="I169" i="42"/>
  <c r="I171" i="42"/>
  <c r="I173" i="42"/>
  <c r="I175" i="42"/>
  <c r="I97" i="42"/>
  <c r="I101" i="42"/>
  <c r="I105" i="42"/>
  <c r="I109" i="42"/>
  <c r="I113" i="42"/>
  <c r="I117" i="42"/>
  <c r="I121" i="42"/>
  <c r="I125" i="42"/>
  <c r="I129" i="42"/>
  <c r="I133" i="42"/>
  <c r="I137" i="42"/>
  <c r="I96" i="42"/>
  <c r="I100" i="42"/>
  <c r="I104" i="42"/>
  <c r="I108" i="42"/>
  <c r="I112" i="42"/>
  <c r="I116" i="42"/>
  <c r="I120" i="42"/>
  <c r="I124" i="42"/>
  <c r="I128" i="42"/>
  <c r="I132" i="42"/>
  <c r="I136" i="42"/>
  <c r="I140" i="42"/>
  <c r="S141" i="42"/>
  <c r="I144" i="42"/>
  <c r="I148" i="42"/>
  <c r="I152" i="42"/>
  <c r="I156" i="42"/>
  <c r="I160" i="42"/>
  <c r="I79" i="42"/>
  <c r="I81" i="42"/>
  <c r="I83" i="42"/>
  <c r="I85" i="42"/>
  <c r="I87" i="42"/>
  <c r="I89" i="42"/>
  <c r="I91" i="42"/>
  <c r="I93" i="42"/>
  <c r="I94" i="42"/>
  <c r="I95" i="42"/>
  <c r="I99" i="42"/>
  <c r="I103" i="42"/>
  <c r="I107" i="42"/>
  <c r="I111" i="42"/>
  <c r="I115" i="42"/>
  <c r="I119" i="42"/>
  <c r="I123" i="42"/>
  <c r="I127" i="42"/>
  <c r="I131" i="42"/>
  <c r="I135" i="42"/>
  <c r="I139" i="42"/>
  <c r="I143" i="42"/>
  <c r="I147" i="42"/>
  <c r="I151" i="42"/>
  <c r="I155" i="42"/>
  <c r="I159" i="42"/>
  <c r="I162" i="42"/>
  <c r="I164" i="42"/>
  <c r="I166" i="42"/>
  <c r="I168" i="42"/>
  <c r="I170" i="42"/>
  <c r="I172" i="42"/>
  <c r="I174" i="42"/>
  <c r="I176" i="42"/>
  <c r="I178" i="42"/>
  <c r="I78" i="42"/>
  <c r="I80" i="42"/>
  <c r="I82" i="42"/>
  <c r="I84" i="42"/>
  <c r="I86" i="42"/>
  <c r="I88" i="42"/>
  <c r="I90" i="42"/>
  <c r="I98" i="42"/>
  <c r="I102" i="42"/>
  <c r="I106" i="42"/>
  <c r="I110" i="42"/>
  <c r="I114" i="42"/>
  <c r="I118" i="42"/>
  <c r="I122" i="42"/>
  <c r="I126" i="42"/>
  <c r="I130" i="42"/>
  <c r="I134" i="42"/>
  <c r="I138" i="42"/>
  <c r="I142" i="42"/>
  <c r="I146" i="42"/>
  <c r="I150" i="42"/>
  <c r="I154" i="42"/>
  <c r="I158" i="42"/>
  <c r="T32" i="42" l="1"/>
  <c r="T28" i="42"/>
  <c r="T67" i="42"/>
  <c r="T51" i="42"/>
  <c r="S75" i="42"/>
  <c r="T35" i="42"/>
  <c r="T191" i="42"/>
  <c r="S191" i="42"/>
  <c r="S194" i="42"/>
  <c r="T194" i="42"/>
  <c r="T192" i="42"/>
  <c r="S192" i="42"/>
  <c r="S190" i="42"/>
  <c r="T190" i="42"/>
  <c r="S195" i="42"/>
  <c r="D29" i="42" s="1" a="1"/>
  <c r="D29" i="42" s="1"/>
  <c r="T195" i="42"/>
  <c r="T193" i="42"/>
  <c r="S193" i="42"/>
  <c r="T64" i="42"/>
  <c r="T16" i="42"/>
  <c r="T9" i="42"/>
  <c r="K90" i="2"/>
  <c r="K94" i="2"/>
  <c r="K93" i="2"/>
  <c r="T48" i="42"/>
  <c r="T12" i="42"/>
  <c r="T62" i="42"/>
  <c r="T30" i="42"/>
  <c r="T43" i="42"/>
  <c r="T58" i="42"/>
  <c r="T14" i="42"/>
  <c r="T92" i="42"/>
  <c r="T54" i="42"/>
  <c r="T10" i="42"/>
  <c r="T20" i="42"/>
  <c r="T55" i="42"/>
  <c r="T38" i="42"/>
  <c r="T6" i="42"/>
  <c r="T4" i="42"/>
  <c r="T187" i="42"/>
  <c r="S182" i="42"/>
  <c r="T182" i="42"/>
  <c r="T188" i="42"/>
  <c r="T183" i="42"/>
  <c r="T189" i="42"/>
  <c r="T184" i="42"/>
  <c r="S179" i="42"/>
  <c r="T179" i="42"/>
  <c r="T185" i="42"/>
  <c r="S180" i="42"/>
  <c r="T180" i="42"/>
  <c r="T186" i="42"/>
  <c r="S181" i="42"/>
  <c r="T181" i="42"/>
  <c r="D24" i="5"/>
  <c r="D28" i="5"/>
  <c r="D11" i="5"/>
  <c r="D13" i="5"/>
  <c r="D29" i="5"/>
  <c r="D10" i="5"/>
  <c r="D27" i="5"/>
  <c r="D31" i="5"/>
  <c r="D33" i="5"/>
  <c r="D14" i="5"/>
  <c r="L12" i="20" s="1"/>
  <c r="D32" i="5"/>
  <c r="D23" i="5"/>
  <c r="D30" i="5"/>
  <c r="D12" i="5"/>
  <c r="D34" i="5"/>
  <c r="T26" i="42"/>
  <c r="T44" i="42"/>
  <c r="T73" i="42"/>
  <c r="T60" i="42"/>
  <c r="T40" i="42"/>
  <c r="T42" i="42"/>
  <c r="T18" i="42"/>
  <c r="T56" i="42"/>
  <c r="T36" i="42"/>
  <c r="T69" i="42"/>
  <c r="O19" i="2"/>
  <c r="BJ27" i="2"/>
  <c r="BE27" i="2"/>
  <c r="BH27" i="2"/>
  <c r="BD27" i="2"/>
  <c r="BI27" i="2"/>
  <c r="BG27" i="2"/>
  <c r="BF27" i="2"/>
  <c r="O28" i="2"/>
  <c r="A54" i="2"/>
  <c r="A37" i="2"/>
  <c r="A29" i="2"/>
  <c r="A49" i="2"/>
  <c r="A50" i="2" s="1"/>
  <c r="T72" i="42"/>
  <c r="T24" i="42"/>
  <c r="T77" i="42"/>
  <c r="T52" i="42"/>
  <c r="C19" i="42" a="1"/>
  <c r="C19" i="42" s="1"/>
  <c r="T59" i="42"/>
  <c r="T70" i="42"/>
  <c r="T76" i="42"/>
  <c r="T68" i="42"/>
  <c r="T13" i="42"/>
  <c r="T21" i="42"/>
  <c r="S21" i="42"/>
  <c r="S31" i="42"/>
  <c r="T31" i="42"/>
  <c r="T22" i="42"/>
  <c r="T25" i="42"/>
  <c r="S25" i="42"/>
  <c r="S61" i="42"/>
  <c r="T61" i="42"/>
  <c r="S45" i="42"/>
  <c r="T45" i="42"/>
  <c r="S19" i="42"/>
  <c r="T19" i="42"/>
  <c r="S53" i="42"/>
  <c r="T53" i="42"/>
  <c r="S37" i="42"/>
  <c r="T37" i="42"/>
  <c r="S5" i="42"/>
  <c r="T5" i="42"/>
  <c r="S65" i="42"/>
  <c r="T65" i="42"/>
  <c r="S49" i="42"/>
  <c r="T49" i="42"/>
  <c r="S33" i="42"/>
  <c r="T33" i="42"/>
  <c r="T50" i="42"/>
  <c r="T34" i="42"/>
  <c r="T74" i="42"/>
  <c r="T66" i="42"/>
  <c r="T71" i="42"/>
  <c r="T29" i="42"/>
  <c r="S29" i="42"/>
  <c r="S41" i="42"/>
  <c r="T41" i="42"/>
  <c r="S23" i="42"/>
  <c r="T23" i="42"/>
  <c r="S57" i="42"/>
  <c r="T57" i="42"/>
  <c r="T46" i="42"/>
  <c r="T17" i="42"/>
  <c r="S17" i="42"/>
  <c r="T27" i="42"/>
  <c r="S27" i="42"/>
  <c r="T154" i="42"/>
  <c r="S154" i="42"/>
  <c r="T138" i="42"/>
  <c r="S138" i="42"/>
  <c r="T122" i="42"/>
  <c r="S122" i="42"/>
  <c r="T106" i="42"/>
  <c r="S106" i="42"/>
  <c r="S88" i="42"/>
  <c r="T88" i="42"/>
  <c r="S80" i="42"/>
  <c r="T80" i="42"/>
  <c r="T174" i="42"/>
  <c r="S174" i="42"/>
  <c r="T166" i="42"/>
  <c r="S166" i="42"/>
  <c r="T155" i="42"/>
  <c r="S155" i="42"/>
  <c r="T139" i="42"/>
  <c r="S139" i="42"/>
  <c r="T123" i="42"/>
  <c r="S123" i="42"/>
  <c r="T107" i="42"/>
  <c r="S107" i="42"/>
  <c r="S94" i="42"/>
  <c r="T94" i="42"/>
  <c r="S87" i="42"/>
  <c r="T87" i="42"/>
  <c r="S79" i="42"/>
  <c r="T79" i="42"/>
  <c r="T148" i="42"/>
  <c r="S148" i="42"/>
  <c r="T136" i="42"/>
  <c r="S136" i="42"/>
  <c r="T120" i="42"/>
  <c r="S120" i="42"/>
  <c r="T104" i="42"/>
  <c r="S104" i="42"/>
  <c r="T137" i="42"/>
  <c r="S137" i="42"/>
  <c r="T121" i="42"/>
  <c r="S121" i="42"/>
  <c r="T105" i="42"/>
  <c r="S105" i="42"/>
  <c r="T169" i="42"/>
  <c r="S169" i="42"/>
  <c r="T161" i="42"/>
  <c r="S161" i="42"/>
  <c r="T145" i="42"/>
  <c r="S145" i="42"/>
  <c r="T134" i="42"/>
  <c r="S134" i="42"/>
  <c r="T118" i="42"/>
  <c r="S118" i="42"/>
  <c r="T102" i="42"/>
  <c r="S102" i="42"/>
  <c r="S86" i="42"/>
  <c r="T86" i="42"/>
  <c r="S78" i="42"/>
  <c r="T78" i="42"/>
  <c r="T172" i="42"/>
  <c r="S172" i="42"/>
  <c r="T164" i="42"/>
  <c r="S164" i="42"/>
  <c r="T151" i="42"/>
  <c r="S151" i="42"/>
  <c r="T135" i="42"/>
  <c r="S135" i="42"/>
  <c r="T119" i="42"/>
  <c r="S119" i="42"/>
  <c r="T103" i="42"/>
  <c r="S103" i="42"/>
  <c r="S93" i="42"/>
  <c r="T93" i="42"/>
  <c r="S85" i="42"/>
  <c r="T85" i="42"/>
  <c r="T160" i="42"/>
  <c r="S160" i="42"/>
  <c r="T144" i="42"/>
  <c r="S144" i="42"/>
  <c r="T132" i="42"/>
  <c r="S132" i="42"/>
  <c r="T116" i="42"/>
  <c r="S116" i="42"/>
  <c r="T100" i="42"/>
  <c r="S100" i="42"/>
  <c r="T133" i="42"/>
  <c r="S133" i="42"/>
  <c r="T117" i="42"/>
  <c r="S117" i="42"/>
  <c r="T101" i="42"/>
  <c r="S101" i="42"/>
  <c r="T175" i="42"/>
  <c r="S175" i="42"/>
  <c r="T167" i="42"/>
  <c r="S167" i="42"/>
  <c r="T157" i="42"/>
  <c r="S157" i="42"/>
  <c r="T150" i="42"/>
  <c r="S150" i="42"/>
  <c r="T146" i="42"/>
  <c r="S146" i="42"/>
  <c r="T130" i="42"/>
  <c r="S130" i="42"/>
  <c r="T114" i="42"/>
  <c r="S114" i="42"/>
  <c r="T98" i="42"/>
  <c r="S98" i="42"/>
  <c r="S84" i="42"/>
  <c r="T84" i="42"/>
  <c r="T178" i="42"/>
  <c r="S178" i="42"/>
  <c r="T170" i="42"/>
  <c r="S170" i="42"/>
  <c r="T162" i="42"/>
  <c r="S162" i="42"/>
  <c r="T147" i="42"/>
  <c r="S147" i="42"/>
  <c r="T131" i="42"/>
  <c r="S131" i="42"/>
  <c r="T115" i="42"/>
  <c r="S115" i="42"/>
  <c r="T99" i="42"/>
  <c r="S99" i="42"/>
  <c r="S91" i="42"/>
  <c r="T91" i="42"/>
  <c r="S83" i="42"/>
  <c r="T83" i="42"/>
  <c r="T156" i="42"/>
  <c r="S156" i="42"/>
  <c r="T128" i="42"/>
  <c r="S128" i="42"/>
  <c r="T112" i="42"/>
  <c r="S112" i="42"/>
  <c r="T96" i="42"/>
  <c r="S96" i="42"/>
  <c r="T129" i="42"/>
  <c r="S129" i="42"/>
  <c r="T113" i="42"/>
  <c r="S113" i="42"/>
  <c r="T97" i="42"/>
  <c r="S97" i="42"/>
  <c r="T173" i="42"/>
  <c r="S173" i="42"/>
  <c r="T165" i="42"/>
  <c r="S165" i="42"/>
  <c r="T153" i="42"/>
  <c r="S153" i="42"/>
  <c r="T158" i="42"/>
  <c r="S158" i="42"/>
  <c r="T142" i="42"/>
  <c r="S142" i="42"/>
  <c r="T126" i="42"/>
  <c r="S126" i="42"/>
  <c r="T110" i="42"/>
  <c r="S110" i="42"/>
  <c r="S90" i="42"/>
  <c r="T90" i="42"/>
  <c r="S82" i="42"/>
  <c r="T82" i="42"/>
  <c r="T176" i="42"/>
  <c r="S176" i="42"/>
  <c r="T168" i="42"/>
  <c r="S168" i="42"/>
  <c r="T159" i="42"/>
  <c r="S159" i="42"/>
  <c r="T143" i="42"/>
  <c r="S143" i="42"/>
  <c r="T127" i="42"/>
  <c r="S127" i="42"/>
  <c r="T111" i="42"/>
  <c r="S111" i="42"/>
  <c r="T95" i="42"/>
  <c r="S95" i="42"/>
  <c r="S89" i="42"/>
  <c r="T89" i="42"/>
  <c r="S81" i="42"/>
  <c r="T81" i="42"/>
  <c r="T152" i="42"/>
  <c r="S152" i="42"/>
  <c r="T140" i="42"/>
  <c r="S140" i="42"/>
  <c r="T124" i="42"/>
  <c r="S124" i="42"/>
  <c r="T108" i="42"/>
  <c r="S108" i="42"/>
  <c r="T125" i="42"/>
  <c r="S125" i="42"/>
  <c r="T109" i="42"/>
  <c r="S109" i="42"/>
  <c r="T171" i="42"/>
  <c r="S171" i="42"/>
  <c r="T163" i="42"/>
  <c r="S163" i="42"/>
  <c r="T149" i="42"/>
  <c r="S149" i="42"/>
  <c r="L22" i="28" l="1"/>
  <c r="H4" i="5"/>
  <c r="H6" i="5"/>
  <c r="H5" i="5"/>
  <c r="H8" i="5"/>
  <c r="H7" i="5"/>
  <c r="M36" i="31"/>
  <c r="H36" i="31" s="1"/>
  <c r="L27" i="18"/>
  <c r="M42" i="31"/>
  <c r="H42" i="31" s="1"/>
  <c r="L3" i="27"/>
  <c r="M35" i="31"/>
  <c r="H35" i="31" s="1"/>
  <c r="M43" i="31"/>
  <c r="H43" i="31" s="1"/>
  <c r="M41" i="31"/>
  <c r="H41" i="31" s="1"/>
  <c r="M52" i="31"/>
  <c r="H52" i="31" s="1"/>
  <c r="M46" i="31"/>
  <c r="H46" i="31" s="1"/>
  <c r="L28" i="28"/>
  <c r="L27" i="28"/>
  <c r="N31" i="35"/>
  <c r="I31" i="35" s="1"/>
  <c r="M49" i="31"/>
  <c r="H49" i="31" s="1"/>
  <c r="M34" i="31"/>
  <c r="H34" i="31" s="1"/>
  <c r="N12" i="35"/>
  <c r="I12" i="35" s="1"/>
  <c r="M38" i="31"/>
  <c r="H38" i="31" s="1"/>
  <c r="M48" i="31"/>
  <c r="H48" i="31" s="1"/>
  <c r="M37" i="31"/>
  <c r="H37" i="31" s="1"/>
  <c r="N17" i="35"/>
  <c r="L57" i="15"/>
  <c r="L23" i="19"/>
  <c r="L4" i="27"/>
  <c r="L24" i="26"/>
  <c r="L2" i="27"/>
  <c r="L24" i="25"/>
  <c r="L57" i="24"/>
  <c r="N11" i="35"/>
  <c r="I11" i="35" s="1"/>
  <c r="N22" i="35"/>
  <c r="I22" i="35" s="1"/>
  <c r="N21" i="35"/>
  <c r="I21" i="35" s="1"/>
  <c r="N19" i="35"/>
  <c r="I19" i="35" s="1"/>
  <c r="N18" i="35"/>
  <c r="I18" i="35" s="1"/>
  <c r="N20" i="35"/>
  <c r="I20" i="35" s="1"/>
  <c r="P12" i="16"/>
  <c r="M12" i="16" s="1"/>
  <c r="N10" i="35"/>
  <c r="I10" i="35" s="1"/>
  <c r="N16" i="35"/>
  <c r="L22" i="19"/>
  <c r="L45" i="22"/>
  <c r="L45" i="23"/>
  <c r="K29" i="2"/>
  <c r="O29" i="2"/>
  <c r="M29" i="2"/>
  <c r="BC29" i="2"/>
  <c r="A55" i="2"/>
  <c r="A38" i="2"/>
  <c r="C29" i="42" a="1"/>
  <c r="C29" i="42" s="1"/>
  <c r="D35" i="5" s="1"/>
  <c r="H39" i="31" l="1"/>
  <c r="BJ29" i="2"/>
  <c r="BG29" i="2"/>
  <c r="BH29" i="2"/>
  <c r="BE29" i="2"/>
  <c r="BF29" i="2"/>
  <c r="BI29" i="2"/>
  <c r="BD29" i="2"/>
  <c r="A39" i="2"/>
  <c r="K10" i="35"/>
  <c r="I17" i="35"/>
  <c r="K17" i="35" s="1"/>
  <c r="K18" i="35"/>
  <c r="K12" i="35"/>
  <c r="K20" i="35"/>
  <c r="K19" i="35"/>
  <c r="K11" i="35"/>
  <c r="I16" i="35"/>
  <c r="K16" i="35" s="1"/>
  <c r="K22" i="35"/>
  <c r="K31" i="35"/>
  <c r="K21" i="35"/>
  <c r="E36" i="41"/>
  <c r="E35" i="41"/>
  <c r="E34" i="41"/>
  <c r="F34" i="41" s="1"/>
  <c r="G34" i="41" s="1"/>
  <c r="E33" i="41"/>
  <c r="E32" i="41"/>
  <c r="F32" i="41" s="1"/>
  <c r="G32" i="41" s="1"/>
  <c r="E31" i="41"/>
  <c r="H31" i="41" s="1"/>
  <c r="E30" i="41"/>
  <c r="E29" i="41"/>
  <c r="H29" i="41" s="1"/>
  <c r="E28" i="41"/>
  <c r="H25" i="41"/>
  <c r="H23" i="41"/>
  <c r="J12" i="41"/>
  <c r="F13" i="33"/>
  <c r="F12" i="33"/>
  <c r="J52" i="31"/>
  <c r="H50" i="31"/>
  <c r="J49" i="31"/>
  <c r="J48" i="31"/>
  <c r="J46" i="31"/>
  <c r="H44" i="31"/>
  <c r="J43" i="31"/>
  <c r="J42" i="31"/>
  <c r="J41" i="31"/>
  <c r="J38" i="31"/>
  <c r="J37" i="31"/>
  <c r="J36" i="31"/>
  <c r="J35" i="31"/>
  <c r="J34" i="31"/>
  <c r="J22" i="31"/>
  <c r="J20" i="31"/>
  <c r="I3" i="30"/>
  <c r="K3" i="29"/>
  <c r="F3" i="29"/>
  <c r="E3" i="29"/>
  <c r="D3" i="29"/>
  <c r="A3" i="29"/>
  <c r="K2" i="29"/>
  <c r="F2" i="29"/>
  <c r="E2" i="29"/>
  <c r="D2" i="29"/>
  <c r="A2" i="29"/>
  <c r="K28" i="28"/>
  <c r="F28" i="28"/>
  <c r="E28" i="28"/>
  <c r="D28" i="28"/>
  <c r="A28" i="28"/>
  <c r="K27" i="28"/>
  <c r="F27" i="28"/>
  <c r="E27" i="28"/>
  <c r="D27" i="28"/>
  <c r="A27" i="28"/>
  <c r="K26" i="28"/>
  <c r="F26" i="28"/>
  <c r="E26" i="28"/>
  <c r="D26" i="28"/>
  <c r="A26" i="28"/>
  <c r="K25" i="28"/>
  <c r="F25" i="28"/>
  <c r="E25" i="28"/>
  <c r="D25" i="28"/>
  <c r="A25" i="28"/>
  <c r="K24" i="28"/>
  <c r="F24" i="28"/>
  <c r="E24" i="28"/>
  <c r="D24" i="28"/>
  <c r="A24" i="28"/>
  <c r="K23" i="28"/>
  <c r="F23" i="28"/>
  <c r="E23" i="28"/>
  <c r="D23" i="28"/>
  <c r="A23" i="28"/>
  <c r="K22" i="28"/>
  <c r="F22" i="28"/>
  <c r="E22" i="28"/>
  <c r="D22" i="28"/>
  <c r="A22" i="28"/>
  <c r="K21" i="28"/>
  <c r="F21" i="28"/>
  <c r="E21" i="28"/>
  <c r="D21" i="28"/>
  <c r="A21" i="28"/>
  <c r="K20" i="28"/>
  <c r="F20" i="28"/>
  <c r="E20" i="28"/>
  <c r="D20" i="28"/>
  <c r="A20" i="28"/>
  <c r="K19" i="28"/>
  <c r="F19" i="28"/>
  <c r="E19" i="28"/>
  <c r="D19" i="28"/>
  <c r="A19" i="28"/>
  <c r="K18" i="28"/>
  <c r="F18" i="28"/>
  <c r="E18" i="28"/>
  <c r="D18" i="28"/>
  <c r="A18" i="28"/>
  <c r="K17" i="28"/>
  <c r="F17" i="28"/>
  <c r="E17" i="28"/>
  <c r="D17" i="28"/>
  <c r="A17" i="28"/>
  <c r="K16" i="28"/>
  <c r="F16" i="28"/>
  <c r="E16" i="28"/>
  <c r="D16" i="28"/>
  <c r="A16" i="28"/>
  <c r="K15" i="28"/>
  <c r="F15" i="28"/>
  <c r="E15" i="28"/>
  <c r="D15" i="28"/>
  <c r="A15" i="28"/>
  <c r="K14" i="28"/>
  <c r="F14" i="28"/>
  <c r="E14" i="28"/>
  <c r="D14" i="28"/>
  <c r="A14" i="28"/>
  <c r="K13" i="28"/>
  <c r="F13" i="28"/>
  <c r="E13" i="28"/>
  <c r="D13" i="28"/>
  <c r="A13" i="28"/>
  <c r="K12" i="28"/>
  <c r="F12" i="28"/>
  <c r="E12" i="28"/>
  <c r="D12" i="28"/>
  <c r="A12" i="28"/>
  <c r="K11" i="28"/>
  <c r="F11" i="28"/>
  <c r="E11" i="28"/>
  <c r="D11" i="28"/>
  <c r="A11" i="28"/>
  <c r="K10" i="28"/>
  <c r="F10" i="28"/>
  <c r="E10" i="28"/>
  <c r="D10" i="28"/>
  <c r="A10" i="28"/>
  <c r="K9" i="28"/>
  <c r="F9" i="28"/>
  <c r="E9" i="28"/>
  <c r="D9" i="28"/>
  <c r="A9" i="28"/>
  <c r="K8" i="28"/>
  <c r="F8" i="28"/>
  <c r="E8" i="28"/>
  <c r="D8" i="28"/>
  <c r="A8" i="28"/>
  <c r="K7" i="28"/>
  <c r="F7" i="28"/>
  <c r="E7" i="28"/>
  <c r="D7" i="28"/>
  <c r="A7" i="28"/>
  <c r="K6" i="28"/>
  <c r="F6" i="28"/>
  <c r="E6" i="28"/>
  <c r="D6" i="28"/>
  <c r="A6" i="28"/>
  <c r="K5" i="28"/>
  <c r="F5" i="28"/>
  <c r="E5" i="28"/>
  <c r="D5" i="28"/>
  <c r="A5" i="28"/>
  <c r="K4" i="28"/>
  <c r="F4" i="28"/>
  <c r="E4" i="28"/>
  <c r="D4" i="28"/>
  <c r="A4" i="28"/>
  <c r="K3" i="28"/>
  <c r="F3" i="28"/>
  <c r="E3" i="28"/>
  <c r="D3" i="28"/>
  <c r="A3" i="28"/>
  <c r="K2" i="28"/>
  <c r="F2" i="28"/>
  <c r="E2" i="28"/>
  <c r="D2" i="28"/>
  <c r="A2" i="28"/>
  <c r="K4" i="27"/>
  <c r="F4" i="27"/>
  <c r="E4" i="27"/>
  <c r="D4" i="27"/>
  <c r="A4" i="27"/>
  <c r="K3" i="27"/>
  <c r="F3" i="27"/>
  <c r="E3" i="27"/>
  <c r="D3" i="27"/>
  <c r="A3" i="27"/>
  <c r="K2" i="27"/>
  <c r="F2" i="27"/>
  <c r="E2" i="27"/>
  <c r="D2" i="27"/>
  <c r="A2" i="27"/>
  <c r="K24" i="26"/>
  <c r="A24" i="26"/>
  <c r="K23" i="26"/>
  <c r="A23" i="26"/>
  <c r="K22" i="26"/>
  <c r="A22" i="26"/>
  <c r="K21" i="26"/>
  <c r="A21" i="26"/>
  <c r="K20" i="26"/>
  <c r="A20" i="26"/>
  <c r="K19" i="26"/>
  <c r="A19" i="26"/>
  <c r="K18" i="26"/>
  <c r="A18" i="26"/>
  <c r="K17" i="26"/>
  <c r="A17" i="26"/>
  <c r="K16" i="26"/>
  <c r="A16" i="26"/>
  <c r="K15" i="26"/>
  <c r="A15" i="26"/>
  <c r="K14" i="26"/>
  <c r="A14" i="26"/>
  <c r="K13" i="26"/>
  <c r="A13" i="26"/>
  <c r="K12" i="26"/>
  <c r="A12" i="26"/>
  <c r="K11" i="26"/>
  <c r="A11" i="26"/>
  <c r="K10" i="26"/>
  <c r="A10" i="26"/>
  <c r="K9" i="26"/>
  <c r="A9" i="26"/>
  <c r="K8" i="26"/>
  <c r="A8" i="26"/>
  <c r="K7" i="26"/>
  <c r="A7" i="26"/>
  <c r="K6" i="26"/>
  <c r="A6" i="26"/>
  <c r="K5" i="26"/>
  <c r="A5" i="26"/>
  <c r="K4" i="26"/>
  <c r="A4" i="26"/>
  <c r="K3" i="26"/>
  <c r="A3" i="26"/>
  <c r="K2" i="26"/>
  <c r="A2" i="26"/>
  <c r="K24" i="25"/>
  <c r="F24" i="25"/>
  <c r="E24" i="25"/>
  <c r="D24" i="25"/>
  <c r="A24" i="25"/>
  <c r="K23" i="25"/>
  <c r="F23" i="25"/>
  <c r="E23" i="25"/>
  <c r="D23" i="25"/>
  <c r="A23" i="25"/>
  <c r="K22" i="25"/>
  <c r="F22" i="25"/>
  <c r="E22" i="25"/>
  <c r="D22" i="25"/>
  <c r="A22" i="25"/>
  <c r="K21" i="25"/>
  <c r="F21" i="25"/>
  <c r="E21" i="25"/>
  <c r="D21" i="25"/>
  <c r="A21" i="25"/>
  <c r="K20" i="25"/>
  <c r="F20" i="25"/>
  <c r="E20" i="25"/>
  <c r="D20" i="25"/>
  <c r="A20" i="25"/>
  <c r="K19" i="25"/>
  <c r="F19" i="25"/>
  <c r="E19" i="25"/>
  <c r="D19" i="25"/>
  <c r="A19" i="25"/>
  <c r="K18" i="25"/>
  <c r="F18" i="25"/>
  <c r="E18" i="25"/>
  <c r="D18" i="25"/>
  <c r="A18" i="25"/>
  <c r="K17" i="25"/>
  <c r="F17" i="25"/>
  <c r="E17" i="25"/>
  <c r="D17" i="25"/>
  <c r="A17" i="25"/>
  <c r="K16" i="25"/>
  <c r="F16" i="25"/>
  <c r="E16" i="25"/>
  <c r="D16" i="25"/>
  <c r="A16" i="25"/>
  <c r="K15" i="25"/>
  <c r="F15" i="25"/>
  <c r="E15" i="25"/>
  <c r="D15" i="25"/>
  <c r="A15" i="25"/>
  <c r="K14" i="25"/>
  <c r="F14" i="25"/>
  <c r="E14" i="25"/>
  <c r="D14" i="25"/>
  <c r="A14" i="25"/>
  <c r="K13" i="25"/>
  <c r="F13" i="25"/>
  <c r="E13" i="25"/>
  <c r="D13" i="25"/>
  <c r="A13" i="25"/>
  <c r="K12" i="25"/>
  <c r="F12" i="25"/>
  <c r="E12" i="25"/>
  <c r="D12" i="25"/>
  <c r="A12" i="25"/>
  <c r="K11" i="25"/>
  <c r="F11" i="25"/>
  <c r="E11" i="25"/>
  <c r="D11" i="25"/>
  <c r="A11" i="25"/>
  <c r="K10" i="25"/>
  <c r="F10" i="25"/>
  <c r="E10" i="25"/>
  <c r="D10" i="25"/>
  <c r="A10" i="25"/>
  <c r="K9" i="25"/>
  <c r="F9" i="25"/>
  <c r="E9" i="25"/>
  <c r="D9" i="25"/>
  <c r="A9" i="25"/>
  <c r="K8" i="25"/>
  <c r="F8" i="25"/>
  <c r="E8" i="25"/>
  <c r="D8" i="25"/>
  <c r="A8" i="25"/>
  <c r="K7" i="25"/>
  <c r="F7" i="25"/>
  <c r="E7" i="25"/>
  <c r="D7" i="25"/>
  <c r="A7" i="25"/>
  <c r="K6" i="25"/>
  <c r="F6" i="25"/>
  <c r="E6" i="25"/>
  <c r="D6" i="25"/>
  <c r="A6" i="25"/>
  <c r="K5" i="25"/>
  <c r="F5" i="25"/>
  <c r="E5" i="25"/>
  <c r="D5" i="25"/>
  <c r="A5" i="25"/>
  <c r="K4" i="25"/>
  <c r="F4" i="25"/>
  <c r="E4" i="25"/>
  <c r="D4" i="25"/>
  <c r="A4" i="25"/>
  <c r="K3" i="25"/>
  <c r="F3" i="25"/>
  <c r="E3" i="25"/>
  <c r="D3" i="25"/>
  <c r="A3" i="25"/>
  <c r="K2" i="25"/>
  <c r="F2" i="25"/>
  <c r="E2" i="25"/>
  <c r="D2" i="25"/>
  <c r="A2" i="25"/>
  <c r="K57" i="24"/>
  <c r="F57" i="24"/>
  <c r="E57" i="24"/>
  <c r="D57" i="24"/>
  <c r="A57" i="24"/>
  <c r="K56" i="24"/>
  <c r="F56" i="24"/>
  <c r="E56" i="24"/>
  <c r="D56" i="24"/>
  <c r="A56" i="24"/>
  <c r="K55" i="24"/>
  <c r="F55" i="24"/>
  <c r="E55" i="24"/>
  <c r="D55" i="24"/>
  <c r="A55" i="24"/>
  <c r="K54" i="24"/>
  <c r="F54" i="24"/>
  <c r="E54" i="24"/>
  <c r="D54" i="24"/>
  <c r="A54" i="24"/>
  <c r="K53" i="24"/>
  <c r="F53" i="24"/>
  <c r="E53" i="24"/>
  <c r="D53" i="24"/>
  <c r="A53" i="24"/>
  <c r="K52" i="24"/>
  <c r="F52" i="24"/>
  <c r="E52" i="24"/>
  <c r="D52" i="24"/>
  <c r="A52" i="24"/>
  <c r="K51" i="24"/>
  <c r="F51" i="24"/>
  <c r="E51" i="24"/>
  <c r="D51" i="24"/>
  <c r="A51" i="24"/>
  <c r="K50" i="24"/>
  <c r="F50" i="24"/>
  <c r="E50" i="24"/>
  <c r="D50" i="24"/>
  <c r="A50" i="24"/>
  <c r="K49" i="24"/>
  <c r="F49" i="24"/>
  <c r="E49" i="24"/>
  <c r="D49" i="24"/>
  <c r="A49" i="24"/>
  <c r="K48" i="24"/>
  <c r="F48" i="24"/>
  <c r="E48" i="24"/>
  <c r="D48" i="24"/>
  <c r="A48" i="24"/>
  <c r="K47" i="24"/>
  <c r="F47" i="24"/>
  <c r="E47" i="24"/>
  <c r="D47" i="24"/>
  <c r="A47" i="24"/>
  <c r="K46" i="24"/>
  <c r="F46" i="24"/>
  <c r="E46" i="24"/>
  <c r="D46" i="24"/>
  <c r="A46" i="24"/>
  <c r="K45" i="24"/>
  <c r="F45" i="24"/>
  <c r="E45" i="24"/>
  <c r="D45" i="24"/>
  <c r="A45" i="24"/>
  <c r="K44" i="24"/>
  <c r="F44" i="24"/>
  <c r="E44" i="24"/>
  <c r="D44" i="24"/>
  <c r="A44" i="24"/>
  <c r="K43" i="24"/>
  <c r="F43" i="24"/>
  <c r="E43" i="24"/>
  <c r="D43" i="24"/>
  <c r="A43" i="24"/>
  <c r="K42" i="24"/>
  <c r="F42" i="24"/>
  <c r="E42" i="24"/>
  <c r="D42" i="24"/>
  <c r="A42" i="24"/>
  <c r="K41" i="24"/>
  <c r="F41" i="24"/>
  <c r="E41" i="24"/>
  <c r="D41" i="24"/>
  <c r="A41" i="24"/>
  <c r="K40" i="24"/>
  <c r="F40" i="24"/>
  <c r="E40" i="24"/>
  <c r="D40" i="24"/>
  <c r="A40" i="24"/>
  <c r="K39" i="24"/>
  <c r="F39" i="24"/>
  <c r="E39" i="24"/>
  <c r="D39" i="24"/>
  <c r="A39" i="24"/>
  <c r="K38" i="24"/>
  <c r="F38" i="24"/>
  <c r="E38" i="24"/>
  <c r="D38" i="24"/>
  <c r="A38" i="24"/>
  <c r="K37" i="24"/>
  <c r="F37" i="24"/>
  <c r="E37" i="24"/>
  <c r="D37" i="24"/>
  <c r="A37" i="24"/>
  <c r="K36" i="24"/>
  <c r="F36" i="24"/>
  <c r="E36" i="24"/>
  <c r="D36" i="24"/>
  <c r="A36" i="24"/>
  <c r="K35" i="24"/>
  <c r="F35" i="24"/>
  <c r="E35" i="24"/>
  <c r="D35" i="24"/>
  <c r="A35" i="24"/>
  <c r="K34" i="24"/>
  <c r="F34" i="24"/>
  <c r="E34" i="24"/>
  <c r="D34" i="24"/>
  <c r="A34" i="24"/>
  <c r="K33" i="24"/>
  <c r="F33" i="24"/>
  <c r="E33" i="24"/>
  <c r="D33" i="24"/>
  <c r="A33" i="24"/>
  <c r="K32" i="24"/>
  <c r="F32" i="24"/>
  <c r="E32" i="24"/>
  <c r="D32" i="24"/>
  <c r="A32" i="24"/>
  <c r="K31" i="24"/>
  <c r="F31" i="24"/>
  <c r="E31" i="24"/>
  <c r="D31" i="24"/>
  <c r="A31" i="24"/>
  <c r="K30" i="24"/>
  <c r="F30" i="24"/>
  <c r="E30" i="24"/>
  <c r="D30" i="24"/>
  <c r="A30" i="24"/>
  <c r="K29" i="24"/>
  <c r="F29" i="24"/>
  <c r="E29" i="24"/>
  <c r="D29" i="24"/>
  <c r="A29" i="24"/>
  <c r="K28" i="24"/>
  <c r="F28" i="24"/>
  <c r="E28" i="24"/>
  <c r="D28" i="24"/>
  <c r="A28" i="24"/>
  <c r="K27" i="24"/>
  <c r="F27" i="24"/>
  <c r="E27" i="24"/>
  <c r="D27" i="24"/>
  <c r="A27" i="24"/>
  <c r="K26" i="24"/>
  <c r="F26" i="24"/>
  <c r="E26" i="24"/>
  <c r="D26" i="24"/>
  <c r="A26" i="24"/>
  <c r="K25" i="24"/>
  <c r="F25" i="24"/>
  <c r="E25" i="24"/>
  <c r="D25" i="24"/>
  <c r="A25" i="24"/>
  <c r="K24" i="24"/>
  <c r="F24" i="24"/>
  <c r="E24" i="24"/>
  <c r="D24" i="24"/>
  <c r="A24" i="24"/>
  <c r="K23" i="24"/>
  <c r="F23" i="24"/>
  <c r="E23" i="24"/>
  <c r="D23" i="24"/>
  <c r="A23" i="24"/>
  <c r="K22" i="24"/>
  <c r="F22" i="24"/>
  <c r="E22" i="24"/>
  <c r="D22" i="24"/>
  <c r="A22" i="24"/>
  <c r="K21" i="24"/>
  <c r="F21" i="24"/>
  <c r="E21" i="24"/>
  <c r="D21" i="24"/>
  <c r="A21" i="24"/>
  <c r="K20" i="24"/>
  <c r="F20" i="24"/>
  <c r="E20" i="24"/>
  <c r="D20" i="24"/>
  <c r="A20" i="24"/>
  <c r="K19" i="24"/>
  <c r="F19" i="24"/>
  <c r="E19" i="24"/>
  <c r="D19" i="24"/>
  <c r="A19" i="24"/>
  <c r="K18" i="24"/>
  <c r="F18" i="24"/>
  <c r="E18" i="24"/>
  <c r="D18" i="24"/>
  <c r="A18" i="24"/>
  <c r="K17" i="24"/>
  <c r="F17" i="24"/>
  <c r="E17" i="24"/>
  <c r="D17" i="24"/>
  <c r="A17" i="24"/>
  <c r="K16" i="24"/>
  <c r="F16" i="24"/>
  <c r="E16" i="24"/>
  <c r="D16" i="24"/>
  <c r="A16" i="24"/>
  <c r="K15" i="24"/>
  <c r="F15" i="24"/>
  <c r="E15" i="24"/>
  <c r="D15" i="24"/>
  <c r="A15" i="24"/>
  <c r="K14" i="24"/>
  <c r="F14" i="24"/>
  <c r="E14" i="24"/>
  <c r="D14" i="24"/>
  <c r="A14" i="24"/>
  <c r="K13" i="24"/>
  <c r="F13" i="24"/>
  <c r="E13" i="24"/>
  <c r="D13" i="24"/>
  <c r="A13" i="24"/>
  <c r="K12" i="24"/>
  <c r="F12" i="24"/>
  <c r="E12" i="24"/>
  <c r="D12" i="24"/>
  <c r="A12" i="24"/>
  <c r="K11" i="24"/>
  <c r="F11" i="24"/>
  <c r="E11" i="24"/>
  <c r="D11" i="24"/>
  <c r="A11" i="24"/>
  <c r="K10" i="24"/>
  <c r="F10" i="24"/>
  <c r="E10" i="24"/>
  <c r="D10" i="24"/>
  <c r="A10" i="24"/>
  <c r="K9" i="24"/>
  <c r="F9" i="24"/>
  <c r="E9" i="24"/>
  <c r="D9" i="24"/>
  <c r="A9" i="24"/>
  <c r="K8" i="24"/>
  <c r="F8" i="24"/>
  <c r="E8" i="24"/>
  <c r="D8" i="24"/>
  <c r="A8" i="24"/>
  <c r="K7" i="24"/>
  <c r="F7" i="24"/>
  <c r="E7" i="24"/>
  <c r="D7" i="24"/>
  <c r="A7" i="24"/>
  <c r="K6" i="24"/>
  <c r="F6" i="24"/>
  <c r="E6" i="24"/>
  <c r="D6" i="24"/>
  <c r="A6" i="24"/>
  <c r="K5" i="24"/>
  <c r="F5" i="24"/>
  <c r="E5" i="24"/>
  <c r="D5" i="24"/>
  <c r="A5" i="24"/>
  <c r="K4" i="24"/>
  <c r="F4" i="24"/>
  <c r="E4" i="24"/>
  <c r="D4" i="24"/>
  <c r="A4" i="24"/>
  <c r="K3" i="24"/>
  <c r="F3" i="24"/>
  <c r="E3" i="24"/>
  <c r="D3" i="24"/>
  <c r="A3" i="24"/>
  <c r="K2" i="24"/>
  <c r="F2" i="24"/>
  <c r="E2" i="24"/>
  <c r="D2" i="24"/>
  <c r="A2" i="24"/>
  <c r="K45" i="23"/>
  <c r="E45" i="23"/>
  <c r="D45" i="23"/>
  <c r="A45" i="23"/>
  <c r="K44" i="23"/>
  <c r="F44" i="23"/>
  <c r="E44" i="23"/>
  <c r="D44" i="23"/>
  <c r="A44" i="23"/>
  <c r="K43" i="23"/>
  <c r="F43" i="23"/>
  <c r="E43" i="23"/>
  <c r="D43" i="23"/>
  <c r="A43" i="23"/>
  <c r="K42" i="23"/>
  <c r="F42" i="23"/>
  <c r="E42" i="23"/>
  <c r="D42" i="23"/>
  <c r="A42" i="23"/>
  <c r="K41" i="23"/>
  <c r="F41" i="23"/>
  <c r="E41" i="23"/>
  <c r="D41" i="23"/>
  <c r="A41" i="23"/>
  <c r="K40" i="23"/>
  <c r="F40" i="23"/>
  <c r="E40" i="23"/>
  <c r="D40" i="23"/>
  <c r="A40" i="23"/>
  <c r="K39" i="23"/>
  <c r="F39" i="23"/>
  <c r="E39" i="23"/>
  <c r="D39" i="23"/>
  <c r="A39" i="23"/>
  <c r="K38" i="23"/>
  <c r="F38" i="23"/>
  <c r="E38" i="23"/>
  <c r="D38" i="23"/>
  <c r="A38" i="23"/>
  <c r="K37" i="23"/>
  <c r="F37" i="23"/>
  <c r="E37" i="23"/>
  <c r="D37" i="23"/>
  <c r="A37" i="23"/>
  <c r="K36" i="23"/>
  <c r="F36" i="23"/>
  <c r="E36" i="23"/>
  <c r="D36" i="23"/>
  <c r="A36" i="23"/>
  <c r="K35" i="23"/>
  <c r="F35" i="23"/>
  <c r="E35" i="23"/>
  <c r="D35" i="23"/>
  <c r="A35" i="23"/>
  <c r="K34" i="23"/>
  <c r="F34" i="23"/>
  <c r="E34" i="23"/>
  <c r="D34" i="23"/>
  <c r="A34" i="23"/>
  <c r="K33" i="23"/>
  <c r="F33" i="23"/>
  <c r="E33" i="23"/>
  <c r="D33" i="23"/>
  <c r="A33" i="23"/>
  <c r="K32" i="23"/>
  <c r="F32" i="23"/>
  <c r="E32" i="23"/>
  <c r="D32" i="23"/>
  <c r="A32" i="23"/>
  <c r="K31" i="23"/>
  <c r="F31" i="23"/>
  <c r="E31" i="23"/>
  <c r="D31" i="23"/>
  <c r="A31" i="23"/>
  <c r="K30" i="23"/>
  <c r="F30" i="23"/>
  <c r="E30" i="23"/>
  <c r="D30" i="23"/>
  <c r="A30" i="23"/>
  <c r="K29" i="23"/>
  <c r="F29" i="23"/>
  <c r="E29" i="23"/>
  <c r="D29" i="23"/>
  <c r="A29" i="23"/>
  <c r="K28" i="23"/>
  <c r="F28" i="23"/>
  <c r="E28" i="23"/>
  <c r="D28" i="23"/>
  <c r="A28" i="23"/>
  <c r="K27" i="23"/>
  <c r="F27" i="23"/>
  <c r="E27" i="23"/>
  <c r="D27" i="23"/>
  <c r="A27" i="23"/>
  <c r="K26" i="23"/>
  <c r="F26" i="23"/>
  <c r="E26" i="23"/>
  <c r="D26" i="23"/>
  <c r="A26" i="23"/>
  <c r="K25" i="23"/>
  <c r="F25" i="23"/>
  <c r="E25" i="23"/>
  <c r="D25" i="23"/>
  <c r="A25" i="23"/>
  <c r="K24" i="23"/>
  <c r="F24" i="23"/>
  <c r="E24" i="23"/>
  <c r="D24" i="23"/>
  <c r="A24" i="23"/>
  <c r="K23" i="23"/>
  <c r="F23" i="23"/>
  <c r="E23" i="23"/>
  <c r="D23" i="23"/>
  <c r="A23" i="23"/>
  <c r="K22" i="23"/>
  <c r="F22" i="23"/>
  <c r="E22" i="23"/>
  <c r="D22" i="23"/>
  <c r="A22" i="23"/>
  <c r="K21" i="23"/>
  <c r="F21" i="23"/>
  <c r="E21" i="23"/>
  <c r="D21" i="23"/>
  <c r="A21" i="23"/>
  <c r="K20" i="23"/>
  <c r="F20" i="23"/>
  <c r="E20" i="23"/>
  <c r="D20" i="23"/>
  <c r="A20" i="23"/>
  <c r="K19" i="23"/>
  <c r="F19" i="23"/>
  <c r="E19" i="23"/>
  <c r="D19" i="23"/>
  <c r="A19" i="23"/>
  <c r="K18" i="23"/>
  <c r="F18" i="23"/>
  <c r="E18" i="23"/>
  <c r="D18" i="23"/>
  <c r="A18" i="23"/>
  <c r="K17" i="23"/>
  <c r="F17" i="23"/>
  <c r="E17" i="23"/>
  <c r="D17" i="23"/>
  <c r="A17" i="23"/>
  <c r="K16" i="23"/>
  <c r="F16" i="23"/>
  <c r="E16" i="23"/>
  <c r="D16" i="23"/>
  <c r="A16" i="23"/>
  <c r="K15" i="23"/>
  <c r="F15" i="23"/>
  <c r="E15" i="23"/>
  <c r="D15" i="23"/>
  <c r="A15" i="23"/>
  <c r="K14" i="23"/>
  <c r="F14" i="23"/>
  <c r="E14" i="23"/>
  <c r="D14" i="23"/>
  <c r="A14" i="23"/>
  <c r="K13" i="23"/>
  <c r="F13" i="23"/>
  <c r="E13" i="23"/>
  <c r="D13" i="23"/>
  <c r="A13" i="23"/>
  <c r="K12" i="23"/>
  <c r="F12" i="23"/>
  <c r="E12" i="23"/>
  <c r="D12" i="23"/>
  <c r="A12" i="23"/>
  <c r="K11" i="23"/>
  <c r="F11" i="23"/>
  <c r="E11" i="23"/>
  <c r="D11" i="23"/>
  <c r="A11" i="23"/>
  <c r="K10" i="23"/>
  <c r="F10" i="23"/>
  <c r="E10" i="23"/>
  <c r="D10" i="23"/>
  <c r="A10" i="23"/>
  <c r="K9" i="23"/>
  <c r="F9" i="23"/>
  <c r="E9" i="23"/>
  <c r="D9" i="23"/>
  <c r="A9" i="23"/>
  <c r="K8" i="23"/>
  <c r="F8" i="23"/>
  <c r="E8" i="23"/>
  <c r="D8" i="23"/>
  <c r="A8" i="23"/>
  <c r="K7" i="23"/>
  <c r="F7" i="23"/>
  <c r="E7" i="23"/>
  <c r="D7" i="23"/>
  <c r="A7" i="23"/>
  <c r="K6" i="23"/>
  <c r="F6" i="23"/>
  <c r="E6" i="23"/>
  <c r="D6" i="23"/>
  <c r="A6" i="23"/>
  <c r="K5" i="23"/>
  <c r="F5" i="23"/>
  <c r="E5" i="23"/>
  <c r="D5" i="23"/>
  <c r="A5" i="23"/>
  <c r="K4" i="23"/>
  <c r="F4" i="23"/>
  <c r="E4" i="23"/>
  <c r="D4" i="23"/>
  <c r="A4" i="23"/>
  <c r="F3" i="23"/>
  <c r="E3" i="23"/>
  <c r="D3" i="23"/>
  <c r="A3" i="23"/>
  <c r="K2" i="23"/>
  <c r="F2" i="23"/>
  <c r="E2" i="23"/>
  <c r="D2" i="23"/>
  <c r="A2" i="23"/>
  <c r="K45" i="22"/>
  <c r="E45" i="22"/>
  <c r="D45" i="22"/>
  <c r="A45" i="22"/>
  <c r="K44" i="22"/>
  <c r="F44" i="22"/>
  <c r="E44" i="22"/>
  <c r="D44" i="22"/>
  <c r="A44" i="22"/>
  <c r="K43" i="22"/>
  <c r="F43" i="22"/>
  <c r="E43" i="22"/>
  <c r="D43" i="22"/>
  <c r="A43" i="22"/>
  <c r="K42" i="22"/>
  <c r="F42" i="22"/>
  <c r="E42" i="22"/>
  <c r="D42" i="22"/>
  <c r="A42" i="22"/>
  <c r="K41" i="22"/>
  <c r="F41" i="22"/>
  <c r="E41" i="22"/>
  <c r="D41" i="22"/>
  <c r="A41" i="22"/>
  <c r="K40" i="22"/>
  <c r="F40" i="22"/>
  <c r="E40" i="22"/>
  <c r="D40" i="22"/>
  <c r="A40" i="22"/>
  <c r="K39" i="22"/>
  <c r="F39" i="22"/>
  <c r="E39" i="22"/>
  <c r="D39" i="22"/>
  <c r="A39" i="22"/>
  <c r="K38" i="22"/>
  <c r="F38" i="22"/>
  <c r="E38" i="22"/>
  <c r="D38" i="22"/>
  <c r="A38" i="22"/>
  <c r="K37" i="22"/>
  <c r="F37" i="22"/>
  <c r="E37" i="22"/>
  <c r="D37" i="22"/>
  <c r="A37" i="22"/>
  <c r="K36" i="22"/>
  <c r="F36" i="22"/>
  <c r="E36" i="22"/>
  <c r="D36" i="22"/>
  <c r="A36" i="22"/>
  <c r="K35" i="22"/>
  <c r="F35" i="22"/>
  <c r="E35" i="22"/>
  <c r="D35" i="22"/>
  <c r="A35" i="22"/>
  <c r="K34" i="22"/>
  <c r="F34" i="22"/>
  <c r="E34" i="22"/>
  <c r="D34" i="22"/>
  <c r="A34" i="22"/>
  <c r="K33" i="22"/>
  <c r="F33" i="22"/>
  <c r="E33" i="22"/>
  <c r="D33" i="22"/>
  <c r="A33" i="22"/>
  <c r="K32" i="22"/>
  <c r="F32" i="22"/>
  <c r="E32" i="22"/>
  <c r="D32" i="22"/>
  <c r="A32" i="22"/>
  <c r="K31" i="22"/>
  <c r="F31" i="22"/>
  <c r="E31" i="22"/>
  <c r="D31" i="22"/>
  <c r="A31" i="22"/>
  <c r="K30" i="22"/>
  <c r="F30" i="22"/>
  <c r="E30" i="22"/>
  <c r="D30" i="22"/>
  <c r="A30" i="22"/>
  <c r="K29" i="22"/>
  <c r="F29" i="22"/>
  <c r="E29" i="22"/>
  <c r="D29" i="22"/>
  <c r="A29" i="22"/>
  <c r="K28" i="22"/>
  <c r="F28" i="22"/>
  <c r="E28" i="22"/>
  <c r="D28" i="22"/>
  <c r="A28" i="22"/>
  <c r="K27" i="22"/>
  <c r="F27" i="22"/>
  <c r="E27" i="22"/>
  <c r="D27" i="22"/>
  <c r="A27" i="22"/>
  <c r="K26" i="22"/>
  <c r="F26" i="22"/>
  <c r="E26" i="22"/>
  <c r="D26" i="22"/>
  <c r="A26" i="22"/>
  <c r="K25" i="22"/>
  <c r="F25" i="22"/>
  <c r="E25" i="22"/>
  <c r="D25" i="22"/>
  <c r="A25" i="22"/>
  <c r="K24" i="22"/>
  <c r="F24" i="22"/>
  <c r="E24" i="22"/>
  <c r="D24" i="22"/>
  <c r="A24" i="22"/>
  <c r="K23" i="22"/>
  <c r="F23" i="22"/>
  <c r="E23" i="22"/>
  <c r="D23" i="22"/>
  <c r="A23" i="22"/>
  <c r="K22" i="22"/>
  <c r="F22" i="22"/>
  <c r="E22" i="22"/>
  <c r="D22" i="22"/>
  <c r="A22" i="22"/>
  <c r="K21" i="22"/>
  <c r="F21" i="22"/>
  <c r="E21" i="22"/>
  <c r="D21" i="22"/>
  <c r="A21" i="22"/>
  <c r="K20" i="22"/>
  <c r="F20" i="22"/>
  <c r="E20" i="22"/>
  <c r="D20" i="22"/>
  <c r="A20" i="22"/>
  <c r="K19" i="22"/>
  <c r="F19" i="22"/>
  <c r="E19" i="22"/>
  <c r="D19" i="22"/>
  <c r="A19" i="22"/>
  <c r="K18" i="22"/>
  <c r="F18" i="22"/>
  <c r="E18" i="22"/>
  <c r="D18" i="22"/>
  <c r="A18" i="22"/>
  <c r="K17" i="22"/>
  <c r="F17" i="22"/>
  <c r="E17" i="22"/>
  <c r="D17" i="22"/>
  <c r="A17" i="22"/>
  <c r="K16" i="22"/>
  <c r="F16" i="22"/>
  <c r="E16" i="22"/>
  <c r="D16" i="22"/>
  <c r="A16" i="22"/>
  <c r="K15" i="22"/>
  <c r="F15" i="22"/>
  <c r="E15" i="22"/>
  <c r="D15" i="22"/>
  <c r="A15" i="22"/>
  <c r="K14" i="22"/>
  <c r="F14" i="22"/>
  <c r="E14" i="22"/>
  <c r="D14" i="22"/>
  <c r="A14" i="22"/>
  <c r="K13" i="22"/>
  <c r="F13" i="22"/>
  <c r="E13" i="22"/>
  <c r="D13" i="22"/>
  <c r="A13" i="22"/>
  <c r="K12" i="22"/>
  <c r="F12" i="22"/>
  <c r="E12" i="22"/>
  <c r="D12" i="22"/>
  <c r="A12" i="22"/>
  <c r="K11" i="22"/>
  <c r="F11" i="22"/>
  <c r="E11" i="22"/>
  <c r="D11" i="22"/>
  <c r="A11" i="22"/>
  <c r="K10" i="22"/>
  <c r="F10" i="22"/>
  <c r="E10" i="22"/>
  <c r="D10" i="22"/>
  <c r="A10" i="22"/>
  <c r="K9" i="22"/>
  <c r="F9" i="22"/>
  <c r="E9" i="22"/>
  <c r="D9" i="22"/>
  <c r="A9" i="22"/>
  <c r="K8" i="22"/>
  <c r="F8" i="22"/>
  <c r="E8" i="22"/>
  <c r="D8" i="22"/>
  <c r="A8" i="22"/>
  <c r="K7" i="22"/>
  <c r="F7" i="22"/>
  <c r="E7" i="22"/>
  <c r="D7" i="22"/>
  <c r="A7" i="22"/>
  <c r="K6" i="22"/>
  <c r="F6" i="22"/>
  <c r="E6" i="22"/>
  <c r="D6" i="22"/>
  <c r="A6" i="22"/>
  <c r="K5" i="22"/>
  <c r="F5" i="22"/>
  <c r="E5" i="22"/>
  <c r="D5" i="22"/>
  <c r="A5" i="22"/>
  <c r="K4" i="22"/>
  <c r="F4" i="22"/>
  <c r="E4" i="22"/>
  <c r="D4" i="22"/>
  <c r="A4" i="22"/>
  <c r="K3" i="22"/>
  <c r="F3" i="22"/>
  <c r="E3" i="22"/>
  <c r="D3" i="22"/>
  <c r="A3" i="22"/>
  <c r="K2" i="22"/>
  <c r="F2" i="22"/>
  <c r="E2" i="22"/>
  <c r="D2" i="22"/>
  <c r="A2" i="22"/>
  <c r="K12" i="20"/>
  <c r="F12" i="20"/>
  <c r="E12" i="20"/>
  <c r="D12" i="20"/>
  <c r="A12" i="20"/>
  <c r="K11" i="20"/>
  <c r="F11" i="20"/>
  <c r="E11" i="20"/>
  <c r="D11" i="20"/>
  <c r="A11" i="20"/>
  <c r="K10" i="20"/>
  <c r="F10" i="20"/>
  <c r="E10" i="20"/>
  <c r="D10" i="20"/>
  <c r="A10" i="20"/>
  <c r="K9" i="20"/>
  <c r="F9" i="20"/>
  <c r="E9" i="20"/>
  <c r="D9" i="20"/>
  <c r="A9" i="20"/>
  <c r="K8" i="20"/>
  <c r="F8" i="20"/>
  <c r="E8" i="20"/>
  <c r="D8" i="20"/>
  <c r="A8" i="20"/>
  <c r="K7" i="20"/>
  <c r="F7" i="20"/>
  <c r="E7" i="20"/>
  <c r="D7" i="20"/>
  <c r="A7" i="20"/>
  <c r="K6" i="20"/>
  <c r="F6" i="20"/>
  <c r="E6" i="20"/>
  <c r="D6" i="20"/>
  <c r="A6" i="20"/>
  <c r="K5" i="20"/>
  <c r="F5" i="20"/>
  <c r="E5" i="20"/>
  <c r="D5" i="20"/>
  <c r="A5" i="20"/>
  <c r="K4" i="20"/>
  <c r="F4" i="20"/>
  <c r="E4" i="20"/>
  <c r="D4" i="20"/>
  <c r="A4" i="20"/>
  <c r="K3" i="20"/>
  <c r="F3" i="20"/>
  <c r="E3" i="20"/>
  <c r="D3" i="20"/>
  <c r="A3" i="20"/>
  <c r="K2" i="20"/>
  <c r="F2" i="20"/>
  <c r="E2" i="20"/>
  <c r="D2" i="20"/>
  <c r="A2" i="20"/>
  <c r="K23" i="19"/>
  <c r="F23" i="19"/>
  <c r="E23" i="19"/>
  <c r="D23" i="19"/>
  <c r="A23" i="19"/>
  <c r="K22" i="19"/>
  <c r="F22" i="19"/>
  <c r="E22" i="19"/>
  <c r="D22" i="19"/>
  <c r="A22" i="19"/>
  <c r="K21" i="19"/>
  <c r="F21" i="19"/>
  <c r="E21" i="19"/>
  <c r="D21" i="19"/>
  <c r="A21" i="19"/>
  <c r="K20" i="19"/>
  <c r="F20" i="19"/>
  <c r="E20" i="19"/>
  <c r="D20" i="19"/>
  <c r="A20" i="19"/>
  <c r="K19" i="19"/>
  <c r="F19" i="19"/>
  <c r="E19" i="19"/>
  <c r="D19" i="19"/>
  <c r="A19" i="19"/>
  <c r="K18" i="19"/>
  <c r="F18" i="19"/>
  <c r="E18" i="19"/>
  <c r="D18" i="19"/>
  <c r="A18" i="19"/>
  <c r="K17" i="19"/>
  <c r="F17" i="19"/>
  <c r="E17" i="19"/>
  <c r="D17" i="19"/>
  <c r="A17" i="19"/>
  <c r="K16" i="19"/>
  <c r="F16" i="19"/>
  <c r="E16" i="19"/>
  <c r="D16" i="19"/>
  <c r="A16" i="19"/>
  <c r="K15" i="19"/>
  <c r="F15" i="19"/>
  <c r="E15" i="19"/>
  <c r="D15" i="19"/>
  <c r="A15" i="19"/>
  <c r="K14" i="19"/>
  <c r="F14" i="19"/>
  <c r="E14" i="19"/>
  <c r="D14" i="19"/>
  <c r="A14" i="19"/>
  <c r="K13" i="19"/>
  <c r="F13" i="19"/>
  <c r="E13" i="19"/>
  <c r="D13" i="19"/>
  <c r="A13" i="19"/>
  <c r="K12" i="19"/>
  <c r="F12" i="19"/>
  <c r="E12" i="19"/>
  <c r="D12" i="19"/>
  <c r="A12" i="19"/>
  <c r="K11" i="19"/>
  <c r="F11" i="19"/>
  <c r="E11" i="19"/>
  <c r="D11" i="19"/>
  <c r="A11" i="19"/>
  <c r="K10" i="19"/>
  <c r="F10" i="19"/>
  <c r="E10" i="19"/>
  <c r="D10" i="19"/>
  <c r="A10" i="19"/>
  <c r="K9" i="19"/>
  <c r="F9" i="19"/>
  <c r="E9" i="19"/>
  <c r="D9" i="19"/>
  <c r="A9" i="19"/>
  <c r="K8" i="19"/>
  <c r="F8" i="19"/>
  <c r="E8" i="19"/>
  <c r="D8" i="19"/>
  <c r="A8" i="19"/>
  <c r="K7" i="19"/>
  <c r="F7" i="19"/>
  <c r="E7" i="19"/>
  <c r="D7" i="19"/>
  <c r="A7" i="19"/>
  <c r="K6" i="19"/>
  <c r="F6" i="19"/>
  <c r="E6" i="19"/>
  <c r="D6" i="19"/>
  <c r="A6" i="19"/>
  <c r="K5" i="19"/>
  <c r="F5" i="19"/>
  <c r="E5" i="19"/>
  <c r="D5" i="19"/>
  <c r="A5" i="19"/>
  <c r="K4" i="19"/>
  <c r="F4" i="19"/>
  <c r="E4" i="19"/>
  <c r="D4" i="19"/>
  <c r="A4" i="19"/>
  <c r="K3" i="19"/>
  <c r="F3" i="19"/>
  <c r="E3" i="19"/>
  <c r="D3" i="19"/>
  <c r="A3" i="19"/>
  <c r="K2" i="19"/>
  <c r="F2" i="19"/>
  <c r="E2" i="19"/>
  <c r="D2" i="19"/>
  <c r="A2" i="19"/>
  <c r="K27" i="18"/>
  <c r="F27" i="18"/>
  <c r="E27" i="18"/>
  <c r="D27" i="18"/>
  <c r="A27" i="18"/>
  <c r="K26" i="18"/>
  <c r="F26" i="18"/>
  <c r="E26" i="18"/>
  <c r="D26" i="18"/>
  <c r="A26" i="18"/>
  <c r="K25" i="18"/>
  <c r="F25" i="18"/>
  <c r="E25" i="18"/>
  <c r="D25" i="18"/>
  <c r="A25" i="18"/>
  <c r="K24" i="18"/>
  <c r="F24" i="18"/>
  <c r="E24" i="18"/>
  <c r="D24" i="18"/>
  <c r="A24" i="18"/>
  <c r="K23" i="18"/>
  <c r="F23" i="18"/>
  <c r="E23" i="18"/>
  <c r="D23" i="18"/>
  <c r="A23" i="18"/>
  <c r="K22" i="18"/>
  <c r="F22" i="18"/>
  <c r="E22" i="18"/>
  <c r="D22" i="18"/>
  <c r="A22" i="18"/>
  <c r="K21" i="18"/>
  <c r="F21" i="18"/>
  <c r="E21" i="18"/>
  <c r="D21" i="18"/>
  <c r="A21" i="18"/>
  <c r="K20" i="18"/>
  <c r="F20" i="18"/>
  <c r="E20" i="18"/>
  <c r="D20" i="18"/>
  <c r="A20" i="18"/>
  <c r="K19" i="18"/>
  <c r="F19" i="18"/>
  <c r="E19" i="18"/>
  <c r="D19" i="18"/>
  <c r="A19" i="18"/>
  <c r="K18" i="18"/>
  <c r="F18" i="18"/>
  <c r="E18" i="18"/>
  <c r="D18" i="18"/>
  <c r="A18" i="18"/>
  <c r="K17" i="18"/>
  <c r="F17" i="18"/>
  <c r="E17" i="18"/>
  <c r="D17" i="18"/>
  <c r="A17" i="18"/>
  <c r="K16" i="18"/>
  <c r="F16" i="18"/>
  <c r="E16" i="18"/>
  <c r="D16" i="18"/>
  <c r="A16" i="18"/>
  <c r="K15" i="18"/>
  <c r="F15" i="18"/>
  <c r="E15" i="18"/>
  <c r="D15" i="18"/>
  <c r="A15" i="18"/>
  <c r="K14" i="18"/>
  <c r="F14" i="18"/>
  <c r="E14" i="18"/>
  <c r="D14" i="18"/>
  <c r="A14" i="18"/>
  <c r="K13" i="18"/>
  <c r="F13" i="18"/>
  <c r="E13" i="18"/>
  <c r="D13" i="18"/>
  <c r="A13" i="18"/>
  <c r="K12" i="18"/>
  <c r="F12" i="18"/>
  <c r="E12" i="18"/>
  <c r="D12" i="18"/>
  <c r="A12" i="18"/>
  <c r="K11" i="18"/>
  <c r="F11" i="18"/>
  <c r="E11" i="18"/>
  <c r="D11" i="18"/>
  <c r="A11" i="18"/>
  <c r="K10" i="18"/>
  <c r="F10" i="18"/>
  <c r="E10" i="18"/>
  <c r="D10" i="18"/>
  <c r="A10" i="18"/>
  <c r="K9" i="18"/>
  <c r="F9" i="18"/>
  <c r="E9" i="18"/>
  <c r="D9" i="18"/>
  <c r="A9" i="18"/>
  <c r="K8" i="18"/>
  <c r="F8" i="18"/>
  <c r="E8" i="18"/>
  <c r="D8" i="18"/>
  <c r="A8" i="18"/>
  <c r="K7" i="18"/>
  <c r="F7" i="18"/>
  <c r="E7" i="18"/>
  <c r="D7" i="18"/>
  <c r="A7" i="18"/>
  <c r="K6" i="18"/>
  <c r="F6" i="18"/>
  <c r="E6" i="18"/>
  <c r="D6" i="18"/>
  <c r="A6" i="18"/>
  <c r="K5" i="18"/>
  <c r="F5" i="18"/>
  <c r="E5" i="18"/>
  <c r="D5" i="18"/>
  <c r="A5" i="18"/>
  <c r="K4" i="18"/>
  <c r="F4" i="18"/>
  <c r="E4" i="18"/>
  <c r="D4" i="18"/>
  <c r="A4" i="18"/>
  <c r="K3" i="18"/>
  <c r="F3" i="18"/>
  <c r="E3" i="18"/>
  <c r="D3" i="18"/>
  <c r="A3" i="18"/>
  <c r="K2" i="18"/>
  <c r="F2" i="18"/>
  <c r="E2" i="18"/>
  <c r="D2" i="18"/>
  <c r="A2" i="18"/>
  <c r="K16" i="17"/>
  <c r="F16" i="17"/>
  <c r="E16" i="17"/>
  <c r="D16" i="17"/>
  <c r="A16" i="17"/>
  <c r="K15" i="17"/>
  <c r="F15" i="17"/>
  <c r="E15" i="17"/>
  <c r="D15" i="17"/>
  <c r="A15" i="17"/>
  <c r="K14" i="17"/>
  <c r="F14" i="17"/>
  <c r="E14" i="17"/>
  <c r="D14" i="17"/>
  <c r="A14" i="17"/>
  <c r="K13" i="17"/>
  <c r="F13" i="17"/>
  <c r="E13" i="17"/>
  <c r="D13" i="17"/>
  <c r="A13" i="17"/>
  <c r="K12" i="17"/>
  <c r="F12" i="17"/>
  <c r="E12" i="17"/>
  <c r="D12" i="17"/>
  <c r="A12" i="17"/>
  <c r="K11" i="17"/>
  <c r="F11" i="17"/>
  <c r="E11" i="17"/>
  <c r="D11" i="17"/>
  <c r="A11" i="17"/>
  <c r="K10" i="17"/>
  <c r="F10" i="17"/>
  <c r="E10" i="17"/>
  <c r="D10" i="17"/>
  <c r="A10" i="17"/>
  <c r="K9" i="17"/>
  <c r="F9" i="17"/>
  <c r="E9" i="17"/>
  <c r="D9" i="17"/>
  <c r="A9" i="17"/>
  <c r="K8" i="17"/>
  <c r="F8" i="17"/>
  <c r="E8" i="17"/>
  <c r="D8" i="17"/>
  <c r="A8" i="17"/>
  <c r="K7" i="17"/>
  <c r="F7" i="17"/>
  <c r="E7" i="17"/>
  <c r="D7" i="17"/>
  <c r="A7" i="17"/>
  <c r="K6" i="17"/>
  <c r="F6" i="17"/>
  <c r="E6" i="17"/>
  <c r="D6" i="17"/>
  <c r="A6" i="17"/>
  <c r="K5" i="17"/>
  <c r="F5" i="17"/>
  <c r="E5" i="17"/>
  <c r="D5" i="17"/>
  <c r="A5" i="17"/>
  <c r="K4" i="17"/>
  <c r="F4" i="17"/>
  <c r="E4" i="17"/>
  <c r="D4" i="17"/>
  <c r="A4" i="17"/>
  <c r="K3" i="17"/>
  <c r="F3" i="17"/>
  <c r="E3" i="17"/>
  <c r="D3" i="17"/>
  <c r="A3" i="17"/>
  <c r="K2" i="17"/>
  <c r="F2" i="17"/>
  <c r="E2" i="17"/>
  <c r="D2" i="17"/>
  <c r="A2" i="17"/>
  <c r="O12" i="16"/>
  <c r="K57" i="15"/>
  <c r="F57" i="15"/>
  <c r="E57" i="15"/>
  <c r="D57" i="15"/>
  <c r="A57" i="15"/>
  <c r="K56" i="15"/>
  <c r="F56" i="15"/>
  <c r="E56" i="15"/>
  <c r="D56" i="15"/>
  <c r="A56" i="15"/>
  <c r="K55" i="15"/>
  <c r="F55" i="15"/>
  <c r="E55" i="15"/>
  <c r="D55" i="15"/>
  <c r="A55" i="15"/>
  <c r="K54" i="15"/>
  <c r="F54" i="15"/>
  <c r="E54" i="15"/>
  <c r="D54" i="15"/>
  <c r="A54" i="15"/>
  <c r="K53" i="15"/>
  <c r="F53" i="15"/>
  <c r="E53" i="15"/>
  <c r="D53" i="15"/>
  <c r="A53" i="15"/>
  <c r="K52" i="15"/>
  <c r="F52" i="15"/>
  <c r="E52" i="15"/>
  <c r="D52" i="15"/>
  <c r="A52" i="15"/>
  <c r="K51" i="15"/>
  <c r="F51" i="15"/>
  <c r="E51" i="15"/>
  <c r="D51" i="15"/>
  <c r="A51" i="15"/>
  <c r="K50" i="15"/>
  <c r="F50" i="15"/>
  <c r="E50" i="15"/>
  <c r="D50" i="15"/>
  <c r="A50" i="15"/>
  <c r="K49" i="15"/>
  <c r="F49" i="15"/>
  <c r="E49" i="15"/>
  <c r="D49" i="15"/>
  <c r="A49" i="15"/>
  <c r="K48" i="15"/>
  <c r="F48" i="15"/>
  <c r="E48" i="15"/>
  <c r="D48" i="15"/>
  <c r="A48" i="15"/>
  <c r="K47" i="15"/>
  <c r="F47" i="15"/>
  <c r="E47" i="15"/>
  <c r="D47" i="15"/>
  <c r="A47" i="15"/>
  <c r="K46" i="15"/>
  <c r="F46" i="15"/>
  <c r="E46" i="15"/>
  <c r="D46" i="15"/>
  <c r="A46" i="15"/>
  <c r="K45" i="15"/>
  <c r="F45" i="15"/>
  <c r="E45" i="15"/>
  <c r="D45" i="15"/>
  <c r="A45" i="15"/>
  <c r="K44" i="15"/>
  <c r="F44" i="15"/>
  <c r="E44" i="15"/>
  <c r="D44" i="15"/>
  <c r="A44" i="15"/>
  <c r="K43" i="15"/>
  <c r="F43" i="15"/>
  <c r="E43" i="15"/>
  <c r="D43" i="15"/>
  <c r="A43" i="15"/>
  <c r="K42" i="15"/>
  <c r="F42" i="15"/>
  <c r="E42" i="15"/>
  <c r="D42" i="15"/>
  <c r="A42" i="15"/>
  <c r="K41" i="15"/>
  <c r="F41" i="15"/>
  <c r="E41" i="15"/>
  <c r="D41" i="15"/>
  <c r="A41" i="15"/>
  <c r="K40" i="15"/>
  <c r="F40" i="15"/>
  <c r="E40" i="15"/>
  <c r="D40" i="15"/>
  <c r="A40" i="15"/>
  <c r="K39" i="15"/>
  <c r="F39" i="15"/>
  <c r="E39" i="15"/>
  <c r="D39" i="15"/>
  <c r="A39" i="15"/>
  <c r="K38" i="15"/>
  <c r="F38" i="15"/>
  <c r="E38" i="15"/>
  <c r="D38" i="15"/>
  <c r="A38" i="15"/>
  <c r="K37" i="15"/>
  <c r="F37" i="15"/>
  <c r="E37" i="15"/>
  <c r="D37" i="15"/>
  <c r="A37" i="15"/>
  <c r="K36" i="15"/>
  <c r="F36" i="15"/>
  <c r="E36" i="15"/>
  <c r="D36" i="15"/>
  <c r="A36" i="15"/>
  <c r="K35" i="15"/>
  <c r="F35" i="15"/>
  <c r="E35" i="15"/>
  <c r="D35" i="15"/>
  <c r="A35" i="15"/>
  <c r="K34" i="15"/>
  <c r="F34" i="15"/>
  <c r="E34" i="15"/>
  <c r="D34" i="15"/>
  <c r="A34" i="15"/>
  <c r="K33" i="15"/>
  <c r="F33" i="15"/>
  <c r="E33" i="15"/>
  <c r="D33" i="15"/>
  <c r="A33" i="15"/>
  <c r="K32" i="15"/>
  <c r="F32" i="15"/>
  <c r="E32" i="15"/>
  <c r="D32" i="15"/>
  <c r="A32" i="15"/>
  <c r="K31" i="15"/>
  <c r="F31" i="15"/>
  <c r="E31" i="15"/>
  <c r="D31" i="15"/>
  <c r="A31" i="15"/>
  <c r="K30" i="15"/>
  <c r="F30" i="15"/>
  <c r="E30" i="15"/>
  <c r="D30" i="15"/>
  <c r="A30" i="15"/>
  <c r="K29" i="15"/>
  <c r="F29" i="15"/>
  <c r="E29" i="15"/>
  <c r="D29" i="15"/>
  <c r="A29" i="15"/>
  <c r="K28" i="15"/>
  <c r="F28" i="15"/>
  <c r="E28" i="15"/>
  <c r="D28" i="15"/>
  <c r="A28" i="15"/>
  <c r="K27" i="15"/>
  <c r="F27" i="15"/>
  <c r="E27" i="15"/>
  <c r="D27" i="15"/>
  <c r="A27" i="15"/>
  <c r="K26" i="15"/>
  <c r="F26" i="15"/>
  <c r="E26" i="15"/>
  <c r="D26" i="15"/>
  <c r="A26" i="15"/>
  <c r="K25" i="15"/>
  <c r="F25" i="15"/>
  <c r="E25" i="15"/>
  <c r="D25" i="15"/>
  <c r="A25" i="15"/>
  <c r="K24" i="15"/>
  <c r="F24" i="15"/>
  <c r="E24" i="15"/>
  <c r="D24" i="15"/>
  <c r="A24" i="15"/>
  <c r="K23" i="15"/>
  <c r="F23" i="15"/>
  <c r="E23" i="15"/>
  <c r="D23" i="15"/>
  <c r="A23" i="15"/>
  <c r="K22" i="15"/>
  <c r="F22" i="15"/>
  <c r="E22" i="15"/>
  <c r="D22" i="15"/>
  <c r="A22" i="15"/>
  <c r="K21" i="15"/>
  <c r="F21" i="15"/>
  <c r="E21" i="15"/>
  <c r="D21" i="15"/>
  <c r="A21" i="15"/>
  <c r="K20" i="15"/>
  <c r="F20" i="15"/>
  <c r="E20" i="15"/>
  <c r="D20" i="15"/>
  <c r="A20" i="15"/>
  <c r="K19" i="15"/>
  <c r="F19" i="15"/>
  <c r="E19" i="15"/>
  <c r="D19" i="15"/>
  <c r="A19" i="15"/>
  <c r="K18" i="15"/>
  <c r="F18" i="15"/>
  <c r="E18" i="15"/>
  <c r="D18" i="15"/>
  <c r="A18" i="15"/>
  <c r="K17" i="15"/>
  <c r="F17" i="15"/>
  <c r="E17" i="15"/>
  <c r="D17" i="15"/>
  <c r="A17" i="15"/>
  <c r="K16" i="15"/>
  <c r="F16" i="15"/>
  <c r="E16" i="15"/>
  <c r="D16" i="15"/>
  <c r="A16" i="15"/>
  <c r="K15" i="15"/>
  <c r="F15" i="15"/>
  <c r="E15" i="15"/>
  <c r="D15" i="15"/>
  <c r="A15" i="15"/>
  <c r="K14" i="15"/>
  <c r="F14" i="15"/>
  <c r="E14" i="15"/>
  <c r="D14" i="15"/>
  <c r="A14" i="15"/>
  <c r="K13" i="15"/>
  <c r="F13" i="15"/>
  <c r="E13" i="15"/>
  <c r="D13" i="15"/>
  <c r="A13" i="15"/>
  <c r="K12" i="15"/>
  <c r="F12" i="15"/>
  <c r="E12" i="15"/>
  <c r="D12" i="15"/>
  <c r="A12" i="15"/>
  <c r="K11" i="15"/>
  <c r="F11" i="15"/>
  <c r="E11" i="15"/>
  <c r="D11" i="15"/>
  <c r="A11" i="15"/>
  <c r="K10" i="15"/>
  <c r="F10" i="15"/>
  <c r="E10" i="15"/>
  <c r="D10" i="15"/>
  <c r="A10" i="15"/>
  <c r="K9" i="15"/>
  <c r="F9" i="15"/>
  <c r="E9" i="15"/>
  <c r="D9" i="15"/>
  <c r="A9" i="15"/>
  <c r="K8" i="15"/>
  <c r="F8" i="15"/>
  <c r="E8" i="15"/>
  <c r="D8" i="15"/>
  <c r="A8" i="15"/>
  <c r="K7" i="15"/>
  <c r="F7" i="15"/>
  <c r="E7" i="15"/>
  <c r="D7" i="15"/>
  <c r="A7" i="15"/>
  <c r="K6" i="15"/>
  <c r="F6" i="15"/>
  <c r="E6" i="15"/>
  <c r="D6" i="15"/>
  <c r="A6" i="15"/>
  <c r="K5" i="15"/>
  <c r="F5" i="15"/>
  <c r="E5" i="15"/>
  <c r="D5" i="15"/>
  <c r="A5" i="15"/>
  <c r="K4" i="15"/>
  <c r="F4" i="15"/>
  <c r="E4" i="15"/>
  <c r="D4" i="15"/>
  <c r="A4" i="15"/>
  <c r="K3" i="15"/>
  <c r="F3" i="15"/>
  <c r="E3" i="15"/>
  <c r="D3" i="15"/>
  <c r="A3" i="15"/>
  <c r="K2" i="15"/>
  <c r="F2" i="15"/>
  <c r="E2" i="15"/>
  <c r="D2" i="15"/>
  <c r="A2" i="15"/>
  <c r="K28" i="14"/>
  <c r="F28" i="14"/>
  <c r="E28" i="14"/>
  <c r="D28" i="14"/>
  <c r="A28" i="14"/>
  <c r="K27" i="14"/>
  <c r="F27" i="14"/>
  <c r="E27" i="14"/>
  <c r="D27" i="14"/>
  <c r="A27" i="14"/>
  <c r="K26" i="14"/>
  <c r="F26" i="14"/>
  <c r="E26" i="14"/>
  <c r="D26" i="14"/>
  <c r="A26" i="14"/>
  <c r="K25" i="14"/>
  <c r="F25" i="14"/>
  <c r="E25" i="14"/>
  <c r="D25" i="14"/>
  <c r="A25" i="14"/>
  <c r="K24" i="14"/>
  <c r="F24" i="14"/>
  <c r="E24" i="14"/>
  <c r="D24" i="14"/>
  <c r="A24" i="14"/>
  <c r="K23" i="14"/>
  <c r="F23" i="14"/>
  <c r="E23" i="14"/>
  <c r="D23" i="14"/>
  <c r="A23" i="14"/>
  <c r="K22" i="14"/>
  <c r="F22" i="14"/>
  <c r="E22" i="14"/>
  <c r="D22" i="14"/>
  <c r="A22" i="14"/>
  <c r="K21" i="14"/>
  <c r="F21" i="14"/>
  <c r="E21" i="14"/>
  <c r="D21" i="14"/>
  <c r="A21" i="14"/>
  <c r="K20" i="14"/>
  <c r="F20" i="14"/>
  <c r="E20" i="14"/>
  <c r="D20" i="14"/>
  <c r="A20" i="14"/>
  <c r="K19" i="14"/>
  <c r="F19" i="14"/>
  <c r="E19" i="14"/>
  <c r="D19" i="14"/>
  <c r="A19" i="14"/>
  <c r="K18" i="14"/>
  <c r="F18" i="14"/>
  <c r="E18" i="14"/>
  <c r="D18" i="14"/>
  <c r="A18" i="14"/>
  <c r="K17" i="14"/>
  <c r="F17" i="14"/>
  <c r="E17" i="14"/>
  <c r="D17" i="14"/>
  <c r="A17" i="14"/>
  <c r="K16" i="14"/>
  <c r="F16" i="14"/>
  <c r="E16" i="14"/>
  <c r="D16" i="14"/>
  <c r="A16" i="14"/>
  <c r="K15" i="14"/>
  <c r="F15" i="14"/>
  <c r="E15" i="14"/>
  <c r="D15" i="14"/>
  <c r="A15" i="14"/>
  <c r="K14" i="14"/>
  <c r="F14" i="14"/>
  <c r="E14" i="14"/>
  <c r="D14" i="14"/>
  <c r="A14" i="14"/>
  <c r="K13" i="14"/>
  <c r="F13" i="14"/>
  <c r="E13" i="14"/>
  <c r="D13" i="14"/>
  <c r="A13" i="14"/>
  <c r="K12" i="14"/>
  <c r="F12" i="14"/>
  <c r="E12" i="14"/>
  <c r="D12" i="14"/>
  <c r="A12" i="14"/>
  <c r="K11" i="14"/>
  <c r="F11" i="14"/>
  <c r="E11" i="14"/>
  <c r="D11" i="14"/>
  <c r="A11" i="14"/>
  <c r="K10" i="14"/>
  <c r="F10" i="14"/>
  <c r="E10" i="14"/>
  <c r="D10" i="14"/>
  <c r="A10" i="14"/>
  <c r="K9" i="14"/>
  <c r="F9" i="14"/>
  <c r="E9" i="14"/>
  <c r="D9" i="14"/>
  <c r="A9" i="14"/>
  <c r="K8" i="14"/>
  <c r="F8" i="14"/>
  <c r="E8" i="14"/>
  <c r="D8" i="14"/>
  <c r="A8" i="14"/>
  <c r="K7" i="14"/>
  <c r="F7" i="14"/>
  <c r="E7" i="14"/>
  <c r="D7" i="14"/>
  <c r="A7" i="14"/>
  <c r="K6" i="14"/>
  <c r="F6" i="14"/>
  <c r="E6" i="14"/>
  <c r="D6" i="14"/>
  <c r="A6" i="14"/>
  <c r="K5" i="14"/>
  <c r="F5" i="14"/>
  <c r="E5" i="14"/>
  <c r="D5" i="14"/>
  <c r="A5" i="14"/>
  <c r="K4" i="14"/>
  <c r="F4" i="14"/>
  <c r="E4" i="14"/>
  <c r="D4" i="14"/>
  <c r="A4" i="14"/>
  <c r="K3" i="14"/>
  <c r="F3" i="14"/>
  <c r="E3" i="14"/>
  <c r="D3" i="14"/>
  <c r="A3" i="14"/>
  <c r="K2" i="14"/>
  <c r="F2" i="14"/>
  <c r="E2" i="14"/>
  <c r="D2" i="14"/>
  <c r="A2" i="14"/>
  <c r="I42" i="13"/>
  <c r="I34" i="13"/>
  <c r="I26" i="13"/>
  <c r="I18" i="13"/>
  <c r="I10" i="13"/>
  <c r="I42" i="12"/>
  <c r="I34" i="12"/>
  <c r="I26" i="12"/>
  <c r="I18" i="12"/>
  <c r="I10" i="12"/>
  <c r="I43" i="11"/>
  <c r="I35" i="11"/>
  <c r="I27" i="11"/>
  <c r="I19" i="11"/>
  <c r="I11" i="11"/>
  <c r="I43" i="10"/>
  <c r="I35" i="10"/>
  <c r="I27" i="10"/>
  <c r="I19" i="10"/>
  <c r="I11" i="10"/>
  <c r="I43" i="9"/>
  <c r="I35" i="9"/>
  <c r="I27" i="9"/>
  <c r="I19" i="9"/>
  <c r="I11" i="9"/>
  <c r="I185" i="8"/>
  <c r="H12" i="20" s="1"/>
  <c r="I12" i="20" s="1"/>
  <c r="I83" i="8"/>
  <c r="H23" i="19" s="1"/>
  <c r="I23" i="19" s="1"/>
  <c r="I33" i="7"/>
  <c r="L32" i="7"/>
  <c r="I32" i="7"/>
  <c r="L31" i="7"/>
  <c r="I31" i="7"/>
  <c r="L30" i="7"/>
  <c r="I30" i="7"/>
  <c r="L29" i="7"/>
  <c r="I29" i="7"/>
  <c r="L28" i="7"/>
  <c r="I28" i="7"/>
  <c r="M25" i="7"/>
  <c r="J25" i="7"/>
  <c r="M24" i="7"/>
  <c r="J24" i="7"/>
  <c r="M23" i="7"/>
  <c r="J23" i="7"/>
  <c r="M22" i="7"/>
  <c r="J22" i="7"/>
  <c r="J3" i="7"/>
  <c r="C3" i="7"/>
  <c r="C4" i="6"/>
  <c r="D42" i="5"/>
  <c r="D41" i="5"/>
  <c r="D36" i="5"/>
  <c r="D26" i="5"/>
  <c r="D21" i="5"/>
  <c r="D20" i="5"/>
  <c r="D19" i="5"/>
  <c r="K80" i="8"/>
  <c r="O20" i="19" s="1"/>
  <c r="R44" i="3"/>
  <c r="Q44" i="3"/>
  <c r="P44" i="3"/>
  <c r="O44" i="3"/>
  <c r="P16" i="3"/>
  <c r="P15" i="3"/>
  <c r="M94" i="2"/>
  <c r="M93" i="2"/>
  <c r="P90" i="2"/>
  <c r="R85" i="2"/>
  <c r="Q85" i="2"/>
  <c r="P85" i="2"/>
  <c r="O85" i="2"/>
  <c r="N85" i="2"/>
  <c r="M85" i="2"/>
  <c r="L85" i="2"/>
  <c r="R83" i="2"/>
  <c r="Q83" i="2"/>
  <c r="P83" i="2"/>
  <c r="O83" i="2"/>
  <c r="N83" i="2"/>
  <c r="M83" i="2"/>
  <c r="L83" i="2"/>
  <c r="R81" i="2"/>
  <c r="Q81" i="2"/>
  <c r="P81" i="2"/>
  <c r="O81" i="2"/>
  <c r="N81" i="2"/>
  <c r="M81" i="2"/>
  <c r="L81" i="2"/>
  <c r="R78" i="2"/>
  <c r="Q78" i="2"/>
  <c r="P78" i="2"/>
  <c r="O78" i="2"/>
  <c r="N78" i="2"/>
  <c r="M78" i="2"/>
  <c r="L78" i="2"/>
  <c r="P71" i="2"/>
  <c r="R65" i="2"/>
  <c r="Q65" i="2"/>
  <c r="P65" i="2"/>
  <c r="O65" i="2"/>
  <c r="N65" i="2"/>
  <c r="M65" i="2"/>
  <c r="L65" i="2"/>
  <c r="R57" i="2"/>
  <c r="Q57" i="2"/>
  <c r="P57" i="2"/>
  <c r="O57" i="2"/>
  <c r="N57" i="2"/>
  <c r="M57" i="2"/>
  <c r="L57" i="2"/>
  <c r="R51" i="2"/>
  <c r="Q51" i="2"/>
  <c r="P51" i="2"/>
  <c r="O51" i="2"/>
  <c r="N51" i="2"/>
  <c r="M51" i="2"/>
  <c r="L51" i="2"/>
  <c r="R46" i="2"/>
  <c r="Q46" i="2"/>
  <c r="P46" i="2"/>
  <c r="O46" i="2"/>
  <c r="N46" i="2"/>
  <c r="M46" i="2"/>
  <c r="L46" i="2"/>
  <c r="M2" i="2"/>
  <c r="D18" i="5" l="1"/>
  <c r="M3" i="2" s="1"/>
  <c r="N27" i="2" s="1"/>
  <c r="M44" i="22"/>
  <c r="M2" i="18"/>
  <c r="M38" i="22"/>
  <c r="M25" i="28"/>
  <c r="M21" i="28"/>
  <c r="M30" i="22"/>
  <c r="M17" i="28"/>
  <c r="M13" i="28"/>
  <c r="M6" i="23"/>
  <c r="M20" i="24"/>
  <c r="M19" i="28"/>
  <c r="M17" i="24"/>
  <c r="M11" i="18"/>
  <c r="M9" i="22"/>
  <c r="M11" i="23"/>
  <c r="M17" i="22"/>
  <c r="M26" i="28"/>
  <c r="M2" i="26"/>
  <c r="M51" i="24"/>
  <c r="M39" i="22"/>
  <c r="M23" i="18"/>
  <c r="M14" i="22"/>
  <c r="M30" i="24"/>
  <c r="M11" i="22"/>
  <c r="M4" i="28"/>
  <c r="M16" i="22"/>
  <c r="M26" i="18"/>
  <c r="M5" i="28"/>
  <c r="M9" i="28"/>
  <c r="M8" i="20"/>
  <c r="M22" i="22"/>
  <c r="M50" i="24"/>
  <c r="M2" i="22"/>
  <c r="M27" i="28"/>
  <c r="M25" i="24"/>
  <c r="M19" i="25"/>
  <c r="M23" i="24"/>
  <c r="M28" i="28"/>
  <c r="M11" i="26"/>
  <c r="M10" i="28"/>
  <c r="M19" i="24"/>
  <c r="M29" i="24"/>
  <c r="M4" i="23"/>
  <c r="M6" i="20"/>
  <c r="M54" i="24"/>
  <c r="M6" i="26"/>
  <c r="M34" i="22"/>
  <c r="M37" i="24"/>
  <c r="M36" i="22"/>
  <c r="M3" i="26"/>
  <c r="M30" i="23"/>
  <c r="M24" i="26"/>
  <c r="M32" i="22"/>
  <c r="M10" i="20"/>
  <c r="M26" i="23"/>
  <c r="M2" i="24"/>
  <c r="M8" i="25"/>
  <c r="M41" i="24"/>
  <c r="M24" i="18"/>
  <c r="M20" i="18"/>
  <c r="M12" i="28"/>
  <c r="M10" i="23"/>
  <c r="M7" i="26"/>
  <c r="M33" i="24"/>
  <c r="M16" i="18"/>
  <c r="M12" i="18"/>
  <c r="M22" i="24"/>
  <c r="M8" i="23"/>
  <c r="M10" i="24"/>
  <c r="M5" i="23"/>
  <c r="M19" i="18"/>
  <c r="M3" i="23"/>
  <c r="M22" i="18"/>
  <c r="M44" i="24"/>
  <c r="M49" i="24"/>
  <c r="M3" i="25"/>
  <c r="M39" i="24"/>
  <c r="M11" i="28"/>
  <c r="M9" i="24"/>
  <c r="M8" i="24"/>
  <c r="M7" i="28"/>
  <c r="M8" i="22"/>
  <c r="M5" i="24"/>
  <c r="M5" i="18"/>
  <c r="M20" i="28"/>
  <c r="M15" i="24"/>
  <c r="M2" i="27"/>
  <c r="M7" i="24"/>
  <c r="M45" i="23"/>
  <c r="M5" i="20"/>
  <c r="M40" i="23"/>
  <c r="M2" i="23"/>
  <c r="M15" i="22"/>
  <c r="M24" i="28"/>
  <c r="M23" i="23"/>
  <c r="M3" i="24"/>
  <c r="M9" i="18"/>
  <c r="M11" i="20"/>
  <c r="M31" i="23"/>
  <c r="M35" i="22"/>
  <c r="M38" i="24"/>
  <c r="M37" i="23"/>
  <c r="M43" i="23"/>
  <c r="M14" i="25"/>
  <c r="M23" i="22"/>
  <c r="M13" i="24"/>
  <c r="M24" i="23"/>
  <c r="M16" i="25"/>
  <c r="M14" i="28"/>
  <c r="M32" i="24"/>
  <c r="M15" i="26"/>
  <c r="M6" i="28"/>
  <c r="M25" i="18"/>
  <c r="M10" i="22"/>
  <c r="M26" i="24"/>
  <c r="M7" i="22"/>
  <c r="M4" i="22"/>
  <c r="M18" i="18"/>
  <c r="M41" i="22"/>
  <c r="M39" i="23"/>
  <c r="M42" i="24"/>
  <c r="M18" i="24"/>
  <c r="M13" i="23"/>
  <c r="M24" i="24"/>
  <c r="M23" i="28"/>
  <c r="M21" i="24"/>
  <c r="M13" i="18"/>
  <c r="M4" i="18"/>
  <c r="M13" i="22"/>
  <c r="M8" i="18"/>
  <c r="M12" i="26"/>
  <c r="M18" i="25"/>
  <c r="M40" i="22"/>
  <c r="M12" i="24"/>
  <c r="M15" i="18"/>
  <c r="M3" i="27"/>
  <c r="M34" i="23"/>
  <c r="M31" i="24"/>
  <c r="M20" i="22"/>
  <c r="M31" i="22"/>
  <c r="M9" i="26"/>
  <c r="M15" i="23"/>
  <c r="M7" i="23"/>
  <c r="M6" i="24"/>
  <c r="M41" i="23"/>
  <c r="M44" i="23"/>
  <c r="M15" i="25"/>
  <c r="M2" i="14"/>
  <c r="M27" i="23"/>
  <c r="M21" i="26"/>
  <c r="M47" i="24"/>
  <c r="M37" i="22"/>
  <c r="M40" i="24"/>
  <c r="M10" i="25"/>
  <c r="M43" i="24"/>
  <c r="M33" i="22"/>
  <c r="M36" i="24"/>
  <c r="M2" i="20"/>
  <c r="M21" i="25"/>
  <c r="M11" i="24"/>
  <c r="M3" i="18"/>
  <c r="M18" i="28"/>
  <c r="M55" i="24"/>
  <c r="M12" i="22"/>
  <c r="M12" i="23"/>
  <c r="M9" i="23"/>
  <c r="M5" i="22"/>
  <c r="M18" i="23"/>
  <c r="M28" i="24"/>
  <c r="M24" i="22"/>
  <c r="M24" i="25"/>
  <c r="M53" i="24"/>
  <c r="M4" i="20"/>
  <c r="M8" i="26"/>
  <c r="M20" i="26"/>
  <c r="M23" i="26"/>
  <c r="M20" i="23"/>
  <c r="M14" i="26"/>
  <c r="M42" i="22"/>
  <c r="M45" i="24"/>
  <c r="M19" i="26"/>
  <c r="M38" i="23"/>
  <c r="M9" i="25"/>
  <c r="M4" i="24"/>
  <c r="L25" i="36"/>
  <c r="N9" i="31"/>
  <c r="M29" i="23"/>
  <c r="N10" i="21"/>
  <c r="M17" i="25"/>
  <c r="M36" i="23"/>
  <c r="M13" i="26"/>
  <c r="M14" i="18"/>
  <c r="M10" i="26"/>
  <c r="M3" i="22"/>
  <c r="M3" i="28"/>
  <c r="M2" i="28"/>
  <c r="M21" i="22"/>
  <c r="M7" i="18"/>
  <c r="M21" i="18"/>
  <c r="M57" i="24"/>
  <c r="M10" i="18"/>
  <c r="M28" i="23"/>
  <c r="M5" i="26"/>
  <c r="M16" i="23"/>
  <c r="M17" i="26"/>
  <c r="M42" i="23"/>
  <c r="M4" i="26"/>
  <c r="M43" i="22"/>
  <c r="M46" i="24"/>
  <c r="M7" i="20"/>
  <c r="M26" i="22"/>
  <c r="M22" i="25"/>
  <c r="M28" i="22"/>
  <c r="M12" i="20"/>
  <c r="M22" i="23"/>
  <c r="M16" i="26"/>
  <c r="M19" i="22"/>
  <c r="M18" i="22"/>
  <c r="N43" i="31"/>
  <c r="K43" i="31" s="1"/>
  <c r="L40" i="36"/>
  <c r="M16" i="24"/>
  <c r="O29" i="35"/>
  <c r="M4" i="25"/>
  <c r="M17" i="23"/>
  <c r="M19" i="23"/>
  <c r="M35" i="24"/>
  <c r="M2" i="25"/>
  <c r="M15" i="28"/>
  <c r="M27" i="24"/>
  <c r="M5" i="25"/>
  <c r="M6" i="22"/>
  <c r="M14" i="23"/>
  <c r="M16" i="28"/>
  <c r="M22" i="28"/>
  <c r="M32" i="23"/>
  <c r="M8" i="28"/>
  <c r="M14" i="24"/>
  <c r="M11" i="25"/>
  <c r="M34" i="24"/>
  <c r="M17" i="18"/>
  <c r="M22" i="26"/>
  <c r="M33" i="23"/>
  <c r="M56" i="24"/>
  <c r="M25" i="23"/>
  <c r="M52" i="24"/>
  <c r="M3" i="20"/>
  <c r="M27" i="22"/>
  <c r="M23" i="25"/>
  <c r="M20" i="25"/>
  <c r="M35" i="23"/>
  <c r="M6" i="25"/>
  <c r="M21" i="23"/>
  <c r="M45" i="22"/>
  <c r="M48" i="24"/>
  <c r="M18" i="26"/>
  <c r="M6" i="18"/>
  <c r="M4" i="27"/>
  <c r="L18" i="36"/>
  <c r="S12" i="32"/>
  <c r="P12" i="32" s="1"/>
  <c r="L28" i="36"/>
  <c r="M25" i="22"/>
  <c r="M12" i="25"/>
  <c r="M13" i="25"/>
  <c r="M7" i="25"/>
  <c r="M9" i="20"/>
  <c r="M29" i="22"/>
  <c r="L3" i="18"/>
  <c r="L11" i="18"/>
  <c r="L19" i="18"/>
  <c r="L6" i="18"/>
  <c r="L24" i="18"/>
  <c r="L10" i="18"/>
  <c r="L26" i="18"/>
  <c r="L5" i="18"/>
  <c r="L13" i="18"/>
  <c r="L21" i="18"/>
  <c r="L12" i="18"/>
  <c r="L2" i="18"/>
  <c r="L14" i="18"/>
  <c r="L7" i="18"/>
  <c r="L15" i="18"/>
  <c r="L23" i="18"/>
  <c r="L16" i="18"/>
  <c r="L4" i="18"/>
  <c r="L18" i="18"/>
  <c r="L9" i="18"/>
  <c r="L8" i="18"/>
  <c r="L20" i="18"/>
  <c r="L17" i="18"/>
  <c r="L22" i="18"/>
  <c r="L25" i="18"/>
  <c r="N13" i="21"/>
  <c r="L37" i="36"/>
  <c r="O10" i="35"/>
  <c r="O20" i="35"/>
  <c r="L20" i="35" s="1"/>
  <c r="N42" i="31"/>
  <c r="M12" i="33"/>
  <c r="L16" i="30"/>
  <c r="N21" i="31"/>
  <c r="K21" i="31" s="1"/>
  <c r="S8" i="32"/>
  <c r="L43" i="36"/>
  <c r="P9" i="40"/>
  <c r="M18" i="33"/>
  <c r="N46" i="31"/>
  <c r="S9" i="32"/>
  <c r="N24" i="31"/>
  <c r="N38" i="31"/>
  <c r="K38" i="31" s="1"/>
  <c r="O28" i="35"/>
  <c r="N34" i="31"/>
  <c r="L22" i="36"/>
  <c r="L15" i="36"/>
  <c r="P11" i="40"/>
  <c r="P18" i="41"/>
  <c r="N12" i="21"/>
  <c r="N11" i="21"/>
  <c r="L11" i="21" s="1"/>
  <c r="M10" i="37"/>
  <c r="N52" i="31"/>
  <c r="L14" i="30"/>
  <c r="N29" i="31"/>
  <c r="K29" i="31" s="1"/>
  <c r="M12" i="37"/>
  <c r="O27" i="35"/>
  <c r="L9" i="38"/>
  <c r="L11" i="36"/>
  <c r="L9" i="39"/>
  <c r="M12" i="34"/>
  <c r="L34" i="36"/>
  <c r="N26" i="31"/>
  <c r="K26" i="31" s="1"/>
  <c r="S10" i="32"/>
  <c r="O17" i="35"/>
  <c r="P16" i="41"/>
  <c r="N11" i="31"/>
  <c r="K11" i="31" s="1"/>
  <c r="N35" i="31"/>
  <c r="N48" i="31"/>
  <c r="N17" i="31"/>
  <c r="P12" i="41"/>
  <c r="M13" i="34"/>
  <c r="M16" i="33"/>
  <c r="L31" i="36"/>
  <c r="L12" i="30"/>
  <c r="I12" i="30" s="1"/>
  <c r="K12" i="30" s="1"/>
  <c r="P17" i="41"/>
  <c r="M20" i="33"/>
  <c r="N49" i="31"/>
  <c r="N23" i="31"/>
  <c r="N19" i="31"/>
  <c r="P10" i="40"/>
  <c r="P15" i="41"/>
  <c r="O11" i="35"/>
  <c r="L11" i="35" s="1"/>
  <c r="L10" i="30"/>
  <c r="N41" i="31"/>
  <c r="N25" i="31"/>
  <c r="O19" i="35"/>
  <c r="L19" i="35" s="1"/>
  <c r="L14" i="36"/>
  <c r="N10" i="31"/>
  <c r="L21" i="36"/>
  <c r="O18" i="35"/>
  <c r="L18" i="35" s="1"/>
  <c r="O31" i="35"/>
  <c r="O22" i="35"/>
  <c r="L7" i="36"/>
  <c r="N31" i="31"/>
  <c r="K31" i="31" s="1"/>
  <c r="N30" i="31"/>
  <c r="S11" i="32"/>
  <c r="N28" i="31"/>
  <c r="O30" i="35"/>
  <c r="L6" i="36"/>
  <c r="M13" i="33"/>
  <c r="M10" i="34"/>
  <c r="P12" i="40"/>
  <c r="N15" i="31"/>
  <c r="N12" i="31"/>
  <c r="O16" i="35"/>
  <c r="P11" i="41"/>
  <c r="N27" i="31"/>
  <c r="N37" i="31"/>
  <c r="N36" i="31"/>
  <c r="P8" i="40"/>
  <c r="O21" i="35"/>
  <c r="M10" i="33"/>
  <c r="O12" i="35"/>
  <c r="M11" i="14"/>
  <c r="M3" i="19"/>
  <c r="M19" i="19"/>
  <c r="M2" i="15"/>
  <c r="M18" i="15"/>
  <c r="M34" i="15"/>
  <c r="M50" i="15"/>
  <c r="M11" i="17"/>
  <c r="M19" i="14"/>
  <c r="M3" i="14"/>
  <c r="M23" i="15"/>
  <c r="M55" i="15"/>
  <c r="M22" i="14"/>
  <c r="M13" i="19"/>
  <c r="M28" i="15"/>
  <c r="M5" i="17"/>
  <c r="M13" i="14"/>
  <c r="M22" i="19"/>
  <c r="M5" i="15"/>
  <c r="M33" i="15"/>
  <c r="M10" i="17"/>
  <c r="M16" i="19"/>
  <c r="M31" i="15"/>
  <c r="M26" i="14"/>
  <c r="M9" i="19"/>
  <c r="M24" i="15"/>
  <c r="M56" i="15"/>
  <c r="M9" i="14"/>
  <c r="M21" i="15"/>
  <c r="M53" i="15"/>
  <c r="M28" i="14"/>
  <c r="M16" i="14"/>
  <c r="M16" i="17"/>
  <c r="M52" i="15"/>
  <c r="M25" i="15"/>
  <c r="M12" i="19"/>
  <c r="M4" i="17"/>
  <c r="M12" i="15"/>
  <c r="M17" i="14"/>
  <c r="M24" i="14"/>
  <c r="M7" i="19"/>
  <c r="M23" i="19"/>
  <c r="J23" i="19" s="1"/>
  <c r="M6" i="15"/>
  <c r="M22" i="15"/>
  <c r="M38" i="15"/>
  <c r="M54" i="15"/>
  <c r="M15" i="17"/>
  <c r="M15" i="14"/>
  <c r="M7" i="15"/>
  <c r="M35" i="15"/>
  <c r="M8" i="17"/>
  <c r="M14" i="14"/>
  <c r="M21" i="19"/>
  <c r="M8" i="15"/>
  <c r="M36" i="15"/>
  <c r="M13" i="17"/>
  <c r="M5" i="14"/>
  <c r="M13" i="15"/>
  <c r="M41" i="15"/>
  <c r="M4" i="19"/>
  <c r="M20" i="19"/>
  <c r="M3" i="15"/>
  <c r="M39" i="15"/>
  <c r="M18" i="14"/>
  <c r="M17" i="19"/>
  <c r="M27" i="18"/>
  <c r="M32" i="15"/>
  <c r="M9" i="17"/>
  <c r="M10" i="19"/>
  <c r="M29" i="15"/>
  <c r="M6" i="17"/>
  <c r="M8" i="14"/>
  <c r="M12" i="14"/>
  <c r="M23" i="14"/>
  <c r="M47" i="15"/>
  <c r="M21" i="14"/>
  <c r="M27" i="15"/>
  <c r="M45" i="15"/>
  <c r="M11" i="19"/>
  <c r="M10" i="15"/>
  <c r="M26" i="15"/>
  <c r="M42" i="15"/>
  <c r="M3" i="17"/>
  <c r="M27" i="14"/>
  <c r="M11" i="15"/>
  <c r="M43" i="15"/>
  <c r="M12" i="17"/>
  <c r="M6" i="14"/>
  <c r="M16" i="15"/>
  <c r="M44" i="15"/>
  <c r="M2" i="17"/>
  <c r="M6" i="19"/>
  <c r="M17" i="15"/>
  <c r="M49" i="15"/>
  <c r="M8" i="19"/>
  <c r="M2" i="19"/>
  <c r="M15" i="15"/>
  <c r="M51" i="15"/>
  <c r="M10" i="14"/>
  <c r="M4" i="15"/>
  <c r="M40" i="15"/>
  <c r="M25" i="14"/>
  <c r="M18" i="19"/>
  <c r="M37" i="15"/>
  <c r="M14" i="17"/>
  <c r="M20" i="14"/>
  <c r="M15" i="19"/>
  <c r="M14" i="15"/>
  <c r="M30" i="15"/>
  <c r="M46" i="15"/>
  <c r="M7" i="17"/>
  <c r="M7" i="14"/>
  <c r="M19" i="15"/>
  <c r="M5" i="19"/>
  <c r="M20" i="15"/>
  <c r="M14" i="19"/>
  <c r="M57" i="15"/>
  <c r="M48" i="15"/>
  <c r="M9" i="15"/>
  <c r="M4" i="14"/>
  <c r="L4" i="7"/>
  <c r="M4" i="7"/>
  <c r="J7" i="5"/>
  <c r="K7" i="5" s="1"/>
  <c r="J5" i="5"/>
  <c r="K5" i="5" s="1"/>
  <c r="J8" i="5"/>
  <c r="K8" i="5" s="1"/>
  <c r="J4" i="5"/>
  <c r="K4" i="5" s="1"/>
  <c r="D17" i="5" s="1"/>
  <c r="J6" i="5"/>
  <c r="K6" i="5" s="1"/>
  <c r="L2" i="29"/>
  <c r="L3" i="29"/>
  <c r="L10" i="21"/>
  <c r="P13" i="16"/>
  <c r="I3" i="21"/>
  <c r="I28" i="41"/>
  <c r="F31" i="41"/>
  <c r="G31" i="41" s="1"/>
  <c r="C6" i="7"/>
  <c r="E6" i="7" s="1"/>
  <c r="C7" i="7"/>
  <c r="E7" i="7" s="1"/>
  <c r="K23" i="31"/>
  <c r="P10" i="32"/>
  <c r="I20" i="33"/>
  <c r="I13" i="33"/>
  <c r="K17" i="31"/>
  <c r="K30" i="31"/>
  <c r="I10" i="34"/>
  <c r="K41" i="31"/>
  <c r="P11" i="32"/>
  <c r="K24" i="31"/>
  <c r="K9" i="31"/>
  <c r="I12" i="33"/>
  <c r="P9" i="32"/>
  <c r="K46" i="31"/>
  <c r="K36" i="31"/>
  <c r="I10" i="30"/>
  <c r="K10" i="30" s="1"/>
  <c r="K35" i="31"/>
  <c r="M12" i="40"/>
  <c r="K52" i="31"/>
  <c r="K19" i="31"/>
  <c r="K27" i="31"/>
  <c r="M17" i="41"/>
  <c r="N10" i="37"/>
  <c r="J32" i="7"/>
  <c r="I34" i="41"/>
  <c r="M32" i="7"/>
  <c r="I30" i="41"/>
  <c r="I35" i="41"/>
  <c r="M15" i="41"/>
  <c r="M10" i="40"/>
  <c r="I22" i="36"/>
  <c r="I14" i="30"/>
  <c r="K14" i="30" s="1"/>
  <c r="K10" i="31"/>
  <c r="I10" i="33"/>
  <c r="I18" i="33"/>
  <c r="K48" i="31"/>
  <c r="H3" i="31"/>
  <c r="G22" i="31" s="1"/>
  <c r="I22" i="31" s="1"/>
  <c r="M3" i="32"/>
  <c r="M23" i="31"/>
  <c r="M11" i="31"/>
  <c r="M28" i="31"/>
  <c r="M26" i="31"/>
  <c r="R12" i="32"/>
  <c r="R11" i="32"/>
  <c r="M11" i="32" s="1"/>
  <c r="M15" i="31"/>
  <c r="H15" i="31" s="1"/>
  <c r="M21" i="31"/>
  <c r="H21" i="31" s="1"/>
  <c r="M24" i="31"/>
  <c r="M10" i="31"/>
  <c r="R8" i="32"/>
  <c r="M8" i="32" s="1"/>
  <c r="M30" i="31"/>
  <c r="H30" i="31" s="1"/>
  <c r="M31" i="31"/>
  <c r="H31" i="31" s="1"/>
  <c r="M9" i="31"/>
  <c r="H9" i="31" s="1"/>
  <c r="M29" i="31"/>
  <c r="H29" i="31" s="1"/>
  <c r="M17" i="31"/>
  <c r="H17" i="31" s="1"/>
  <c r="M25" i="31"/>
  <c r="R9" i="32"/>
  <c r="M9" i="32" s="1"/>
  <c r="M27" i="31"/>
  <c r="M19" i="31"/>
  <c r="H19" i="31" s="1"/>
  <c r="M12" i="31"/>
  <c r="H12" i="31" s="1"/>
  <c r="R10" i="32"/>
  <c r="M10" i="32" s="1"/>
  <c r="S27" i="2"/>
  <c r="AQ27" i="2"/>
  <c r="AA27" i="2"/>
  <c r="AI27" i="2"/>
  <c r="W27" i="2"/>
  <c r="AE27" i="2"/>
  <c r="AM27" i="2"/>
  <c r="K28" i="31"/>
  <c r="L28" i="31" s="1"/>
  <c r="K37" i="31"/>
  <c r="N29" i="2"/>
  <c r="M18" i="41"/>
  <c r="P8" i="32"/>
  <c r="Q8" i="32" s="1"/>
  <c r="M16" i="41"/>
  <c r="I16" i="30"/>
  <c r="K16" i="30" s="1"/>
  <c r="K15" i="31"/>
  <c r="K34" i="31"/>
  <c r="I12" i="34"/>
  <c r="I13" i="34"/>
  <c r="K25" i="31"/>
  <c r="L25" i="31" s="1"/>
  <c r="K42" i="31"/>
  <c r="I16" i="33"/>
  <c r="M11" i="40"/>
  <c r="I6" i="36"/>
  <c r="K12" i="31"/>
  <c r="K49" i="31"/>
  <c r="B20" i="6"/>
  <c r="L12" i="21"/>
  <c r="L13" i="21"/>
  <c r="M3" i="16"/>
  <c r="L12" i="16" s="1"/>
  <c r="N12" i="16" s="1"/>
  <c r="P14" i="16"/>
  <c r="N29" i="35"/>
  <c r="N30" i="35"/>
  <c r="L3" i="14"/>
  <c r="L5" i="14"/>
  <c r="L7" i="14"/>
  <c r="L9" i="14"/>
  <c r="L11" i="14"/>
  <c r="L13" i="14"/>
  <c r="L15" i="14"/>
  <c r="L17" i="14"/>
  <c r="L19" i="14"/>
  <c r="L21" i="14"/>
  <c r="L23" i="14"/>
  <c r="L25" i="14"/>
  <c r="L27" i="14"/>
  <c r="L6" i="14"/>
  <c r="L14" i="14"/>
  <c r="L22" i="14"/>
  <c r="L5" i="15"/>
  <c r="L8" i="15"/>
  <c r="L13" i="15"/>
  <c r="L16" i="15"/>
  <c r="L21" i="15"/>
  <c r="L24" i="15"/>
  <c r="L29" i="15"/>
  <c r="L32" i="15"/>
  <c r="L37" i="15"/>
  <c r="L40" i="15"/>
  <c r="L45" i="15"/>
  <c r="L48" i="15"/>
  <c r="L53" i="15"/>
  <c r="L56" i="15"/>
  <c r="P11" i="16"/>
  <c r="L9" i="17"/>
  <c r="L7" i="17"/>
  <c r="L5" i="17"/>
  <c r="L3" i="17"/>
  <c r="L4" i="14"/>
  <c r="L12" i="14"/>
  <c r="L20" i="14"/>
  <c r="L28" i="14"/>
  <c r="L3" i="15"/>
  <c r="L6" i="15"/>
  <c r="L11" i="15"/>
  <c r="L14" i="15"/>
  <c r="L19" i="15"/>
  <c r="L22" i="15"/>
  <c r="L27" i="15"/>
  <c r="L30" i="15"/>
  <c r="L35" i="15"/>
  <c r="L38" i="15"/>
  <c r="L43" i="15"/>
  <c r="L46" i="15"/>
  <c r="L51" i="15"/>
  <c r="L54" i="15"/>
  <c r="P8" i="16"/>
  <c r="L11" i="17"/>
  <c r="L13" i="17"/>
  <c r="L15" i="17"/>
  <c r="L10" i="14"/>
  <c r="L18" i="14"/>
  <c r="L26" i="14"/>
  <c r="L4" i="15"/>
  <c r="L9" i="15"/>
  <c r="L12" i="15"/>
  <c r="L17" i="15"/>
  <c r="L20" i="15"/>
  <c r="L25" i="15"/>
  <c r="L28" i="15"/>
  <c r="L33" i="15"/>
  <c r="L36" i="15"/>
  <c r="L41" i="15"/>
  <c r="L44" i="15"/>
  <c r="L49" i="15"/>
  <c r="L52" i="15"/>
  <c r="P9" i="16"/>
  <c r="L8" i="17"/>
  <c r="L6" i="17"/>
  <c r="L4" i="17"/>
  <c r="L2" i="17"/>
  <c r="L8" i="14"/>
  <c r="L16" i="14"/>
  <c r="L24" i="14"/>
  <c r="L2" i="14"/>
  <c r="L7" i="15"/>
  <c r="L10" i="15"/>
  <c r="L15" i="15"/>
  <c r="L18" i="15"/>
  <c r="L23" i="15"/>
  <c r="L26" i="15"/>
  <c r="L31" i="15"/>
  <c r="L34" i="15"/>
  <c r="L39" i="15"/>
  <c r="L42" i="15"/>
  <c r="L47" i="15"/>
  <c r="L50" i="15"/>
  <c r="L55" i="15"/>
  <c r="L2" i="15"/>
  <c r="P10" i="16"/>
  <c r="L16" i="17"/>
  <c r="L11" i="19"/>
  <c r="L13" i="19"/>
  <c r="L10" i="19"/>
  <c r="L8" i="19"/>
  <c r="L6" i="19"/>
  <c r="L4" i="19"/>
  <c r="L2" i="19"/>
  <c r="L10" i="17"/>
  <c r="L16" i="19"/>
  <c r="L18" i="19"/>
  <c r="L20" i="19"/>
  <c r="L4" i="20"/>
  <c r="L6" i="20"/>
  <c r="L8" i="20"/>
  <c r="L10" i="20"/>
  <c r="L12" i="17"/>
  <c r="L12" i="19"/>
  <c r="L14" i="19"/>
  <c r="L9" i="19"/>
  <c r="L7" i="19"/>
  <c r="L5" i="19"/>
  <c r="L3" i="19"/>
  <c r="L2" i="20"/>
  <c r="L14" i="17"/>
  <c r="L15" i="19"/>
  <c r="L17" i="19"/>
  <c r="L19" i="19"/>
  <c r="L21" i="19"/>
  <c r="L3" i="20"/>
  <c r="L5" i="20"/>
  <c r="L7" i="20"/>
  <c r="L9" i="20"/>
  <c r="L11" i="20"/>
  <c r="N27" i="35"/>
  <c r="N28" i="35"/>
  <c r="O21" i="2"/>
  <c r="Q22" i="2"/>
  <c r="Q29" i="2"/>
  <c r="Q14" i="2"/>
  <c r="Q18" i="2"/>
  <c r="O20" i="2"/>
  <c r="Q19" i="2"/>
  <c r="L10" i="35"/>
  <c r="L16" i="35"/>
  <c r="L31" i="35"/>
  <c r="L29" i="35"/>
  <c r="L27" i="35"/>
  <c r="J12" i="20"/>
  <c r="L30" i="35"/>
  <c r="L21" i="35"/>
  <c r="L28" i="35"/>
  <c r="L12" i="35"/>
  <c r="L22" i="35"/>
  <c r="L17" i="35"/>
  <c r="A40" i="2"/>
  <c r="M11" i="21"/>
  <c r="I11" i="21" s="1"/>
  <c r="K11" i="21" s="1"/>
  <c r="M12" i="21"/>
  <c r="I12" i="21" s="1"/>
  <c r="K12" i="21" s="1"/>
  <c r="M13" i="21"/>
  <c r="I13" i="21" s="1"/>
  <c r="K13" i="21" s="1"/>
  <c r="M10" i="21"/>
  <c r="I3" i="34"/>
  <c r="I3" i="39"/>
  <c r="M3" i="41"/>
  <c r="I3" i="35"/>
  <c r="H11" i="35" s="1"/>
  <c r="J11" i="35" s="1"/>
  <c r="H3" i="36"/>
  <c r="H10" i="36" s="1"/>
  <c r="I3" i="37"/>
  <c r="M3" i="40"/>
  <c r="I3" i="33"/>
  <c r="I3" i="38"/>
  <c r="L21" i="28"/>
  <c r="L23" i="28"/>
  <c r="L26" i="28"/>
  <c r="L24" i="28"/>
  <c r="L4" i="22"/>
  <c r="L6" i="22"/>
  <c r="L8" i="22"/>
  <c r="L10" i="22"/>
  <c r="L12" i="22"/>
  <c r="L14" i="22"/>
  <c r="L16" i="22"/>
  <c r="L18" i="22"/>
  <c r="L20" i="22"/>
  <c r="L22" i="22"/>
  <c r="L24" i="22"/>
  <c r="L26" i="22"/>
  <c r="L28" i="22"/>
  <c r="L30" i="22"/>
  <c r="L32" i="22"/>
  <c r="L34" i="22"/>
  <c r="L36" i="22"/>
  <c r="L38" i="22"/>
  <c r="L40" i="22"/>
  <c r="L42" i="22"/>
  <c r="L44" i="22"/>
  <c r="L4" i="23"/>
  <c r="L6" i="23"/>
  <c r="L8" i="23"/>
  <c r="L10" i="23"/>
  <c r="L12" i="23"/>
  <c r="L14" i="23"/>
  <c r="L16" i="23"/>
  <c r="L18" i="23"/>
  <c r="L20" i="23"/>
  <c r="L22" i="23"/>
  <c r="L24" i="23"/>
  <c r="L26" i="23"/>
  <c r="L28" i="23"/>
  <c r="L30" i="23"/>
  <c r="L32" i="23"/>
  <c r="L34" i="23"/>
  <c r="L36" i="23"/>
  <c r="L3" i="22"/>
  <c r="L5" i="22"/>
  <c r="L7" i="22"/>
  <c r="L9" i="22"/>
  <c r="L11" i="22"/>
  <c r="L13" i="22"/>
  <c r="L15" i="22"/>
  <c r="L17" i="22"/>
  <c r="L19" i="22"/>
  <c r="L21" i="22"/>
  <c r="L23" i="22"/>
  <c r="L25" i="22"/>
  <c r="L27" i="22"/>
  <c r="L29" i="22"/>
  <c r="L31" i="22"/>
  <c r="L33" i="22"/>
  <c r="L35" i="22"/>
  <c r="L37" i="22"/>
  <c r="L39" i="22"/>
  <c r="L41" i="22"/>
  <c r="L43" i="22"/>
  <c r="L3" i="23"/>
  <c r="L5" i="23"/>
  <c r="L7" i="23"/>
  <c r="L9" i="23"/>
  <c r="L11" i="23"/>
  <c r="L13" i="23"/>
  <c r="L15" i="23"/>
  <c r="L17" i="23"/>
  <c r="L19" i="23"/>
  <c r="L21" i="23"/>
  <c r="L23" i="23"/>
  <c r="L25" i="23"/>
  <c r="L27" i="23"/>
  <c r="L29" i="23"/>
  <c r="L31" i="23"/>
  <c r="L33" i="23"/>
  <c r="L35" i="23"/>
  <c r="L37" i="23"/>
  <c r="L2" i="22"/>
  <c r="L2" i="23"/>
  <c r="L2" i="24"/>
  <c r="L39" i="23"/>
  <c r="L41" i="23"/>
  <c r="L43" i="23"/>
  <c r="L4" i="24"/>
  <c r="L6" i="24"/>
  <c r="L8" i="24"/>
  <c r="L10" i="24"/>
  <c r="L12" i="24"/>
  <c r="L14" i="24"/>
  <c r="L16" i="24"/>
  <c r="L18" i="24"/>
  <c r="L20" i="24"/>
  <c r="L22" i="24"/>
  <c r="L24" i="24"/>
  <c r="L26" i="24"/>
  <c r="L28" i="24"/>
  <c r="L30" i="24"/>
  <c r="L32" i="24"/>
  <c r="L34" i="24"/>
  <c r="L36" i="24"/>
  <c r="L38" i="24"/>
  <c r="L40" i="24"/>
  <c r="L42" i="24"/>
  <c r="L44" i="24"/>
  <c r="L46" i="24"/>
  <c r="L48" i="24"/>
  <c r="L50" i="24"/>
  <c r="L52" i="24"/>
  <c r="L54" i="24"/>
  <c r="L56" i="24"/>
  <c r="L44" i="23"/>
  <c r="L9" i="24"/>
  <c r="L17" i="24"/>
  <c r="L25" i="24"/>
  <c r="L33" i="24"/>
  <c r="L41" i="24"/>
  <c r="L49" i="24"/>
  <c r="L2" i="25"/>
  <c r="L38" i="23"/>
  <c r="L3" i="24"/>
  <c r="L11" i="24"/>
  <c r="L19" i="24"/>
  <c r="L27" i="24"/>
  <c r="L35" i="24"/>
  <c r="L43" i="24"/>
  <c r="L51" i="24"/>
  <c r="L3" i="25"/>
  <c r="L5" i="25"/>
  <c r="L7" i="25"/>
  <c r="L9" i="25"/>
  <c r="L11" i="25"/>
  <c r="L13" i="25"/>
  <c r="L15" i="25"/>
  <c r="L17" i="25"/>
  <c r="L19" i="25"/>
  <c r="L21" i="25"/>
  <c r="L23" i="25"/>
  <c r="L4" i="26"/>
  <c r="L6" i="26"/>
  <c r="L8" i="26"/>
  <c r="L10" i="26"/>
  <c r="L12" i="26"/>
  <c r="L14" i="26"/>
  <c r="L16" i="26"/>
  <c r="L18" i="26"/>
  <c r="L20" i="26"/>
  <c r="L22" i="26"/>
  <c r="L40" i="23"/>
  <c r="L5" i="24"/>
  <c r="L13" i="24"/>
  <c r="L21" i="24"/>
  <c r="L29" i="24"/>
  <c r="L37" i="24"/>
  <c r="L45" i="24"/>
  <c r="L53" i="24"/>
  <c r="L2" i="26"/>
  <c r="L31" i="24"/>
  <c r="L10" i="25"/>
  <c r="L18" i="25"/>
  <c r="L5" i="26"/>
  <c r="L13" i="26"/>
  <c r="L21" i="26"/>
  <c r="L3" i="28"/>
  <c r="L7" i="28"/>
  <c r="L11" i="28"/>
  <c r="L15" i="28"/>
  <c r="L19" i="28"/>
  <c r="L23" i="24"/>
  <c r="L8" i="25"/>
  <c r="L16" i="25"/>
  <c r="L3" i="26"/>
  <c r="L19" i="26"/>
  <c r="L25" i="28"/>
  <c r="L10" i="28"/>
  <c r="L42" i="23"/>
  <c r="L7" i="24"/>
  <c r="L39" i="24"/>
  <c r="L4" i="25"/>
  <c r="L12" i="25"/>
  <c r="L20" i="25"/>
  <c r="L7" i="26"/>
  <c r="L15" i="26"/>
  <c r="L23" i="26"/>
  <c r="L4" i="28"/>
  <c r="L8" i="28"/>
  <c r="L12" i="28"/>
  <c r="L16" i="28"/>
  <c r="L20" i="28"/>
  <c r="L55" i="24"/>
  <c r="L11" i="26"/>
  <c r="L18" i="28"/>
  <c r="L15" i="24"/>
  <c r="L47" i="24"/>
  <c r="L6" i="25"/>
  <c r="L14" i="25"/>
  <c r="L22" i="25"/>
  <c r="L9" i="26"/>
  <c r="L17" i="26"/>
  <c r="L5" i="28"/>
  <c r="L9" i="28"/>
  <c r="L13" i="28"/>
  <c r="L17" i="28"/>
  <c r="L2" i="28"/>
  <c r="L6" i="28"/>
  <c r="L14" i="28"/>
  <c r="I31" i="41"/>
  <c r="I29" i="41"/>
  <c r="I33" i="41"/>
  <c r="J50" i="31"/>
  <c r="R71" i="2"/>
  <c r="L90" i="2"/>
  <c r="L93" i="2"/>
  <c r="I50" i="11"/>
  <c r="G6" i="5" s="1"/>
  <c r="O90" i="2"/>
  <c r="O93" i="2"/>
  <c r="I49" i="12"/>
  <c r="G7" i="5" s="1"/>
  <c r="R90" i="2"/>
  <c r="Q93" i="2"/>
  <c r="I50" i="10"/>
  <c r="G5" i="5" s="1"/>
  <c r="P94" i="2"/>
  <c r="K23" i="35"/>
  <c r="F28" i="41"/>
  <c r="H35" i="41"/>
  <c r="Q90" i="2"/>
  <c r="P93" i="2"/>
  <c r="L94" i="2"/>
  <c r="Q94" i="2"/>
  <c r="H28" i="41"/>
  <c r="I32" i="41"/>
  <c r="H34" i="41"/>
  <c r="I36" i="41"/>
  <c r="N94" i="2"/>
  <c r="R94" i="2"/>
  <c r="I49" i="13"/>
  <c r="G8" i="5" s="1"/>
  <c r="J39" i="31"/>
  <c r="K13" i="35"/>
  <c r="F36" i="41"/>
  <c r="G36" i="41" s="1"/>
  <c r="N90" i="2"/>
  <c r="N93" i="2"/>
  <c r="R93" i="2"/>
  <c r="O94" i="2"/>
  <c r="J44" i="31"/>
  <c r="H36" i="41"/>
  <c r="I50" i="9"/>
  <c r="G4" i="5" s="1"/>
  <c r="D16" i="5" s="1"/>
  <c r="D39" i="5"/>
  <c r="D40" i="5"/>
  <c r="R25" i="2" s="1"/>
  <c r="M71" i="2"/>
  <c r="L71" i="2"/>
  <c r="Q71" i="2"/>
  <c r="O71" i="2"/>
  <c r="N71" i="2"/>
  <c r="S44" i="3"/>
  <c r="J71" i="8"/>
  <c r="N27" i="18" s="1"/>
  <c r="B15" i="6"/>
  <c r="K71" i="8"/>
  <c r="O27" i="18" s="1"/>
  <c r="M90" i="2"/>
  <c r="B16" i="6"/>
  <c r="J33" i="7"/>
  <c r="B17" i="6"/>
  <c r="J80" i="8"/>
  <c r="N20" i="19" s="1"/>
  <c r="B18" i="6"/>
  <c r="J28" i="7"/>
  <c r="J29" i="7"/>
  <c r="J30" i="7"/>
  <c r="J31" i="7"/>
  <c r="B19" i="6"/>
  <c r="M28" i="7"/>
  <c r="M29" i="7"/>
  <c r="M30" i="7"/>
  <c r="M31" i="7"/>
  <c r="G28" i="41"/>
  <c r="F33" i="41"/>
  <c r="G33" i="41" s="1"/>
  <c r="F30" i="41"/>
  <c r="G30" i="41" s="1"/>
  <c r="H33" i="41"/>
  <c r="F35" i="41"/>
  <c r="G35" i="41" s="1"/>
  <c r="H30" i="41"/>
  <c r="F29" i="41"/>
  <c r="G29" i="41" s="1"/>
  <c r="H32" i="41"/>
  <c r="H14" i="30" l="1"/>
  <c r="J14" i="30" s="1"/>
  <c r="G6" i="7"/>
  <c r="F167" i="8" s="1"/>
  <c r="I167" i="8" s="1"/>
  <c r="H45" i="22" s="1"/>
  <c r="J45" i="22" s="1"/>
  <c r="L10" i="31"/>
  <c r="L43" i="31"/>
  <c r="L27" i="31"/>
  <c r="L11" i="31"/>
  <c r="L46" i="31"/>
  <c r="L31" i="31"/>
  <c r="L12" i="31"/>
  <c r="L42" i="31"/>
  <c r="L15" i="31"/>
  <c r="L37" i="31"/>
  <c r="L21" i="31"/>
  <c r="L19" i="31"/>
  <c r="L30" i="31"/>
  <c r="L29" i="31"/>
  <c r="L52" i="31"/>
  <c r="L38" i="31"/>
  <c r="L24" i="31"/>
  <c r="L17" i="31"/>
  <c r="H12" i="34"/>
  <c r="L26" i="31"/>
  <c r="L49" i="31"/>
  <c r="K18" i="30"/>
  <c r="L35" i="31"/>
  <c r="L36" i="31"/>
  <c r="H12" i="30"/>
  <c r="J12" i="30" s="1"/>
  <c r="I18" i="36"/>
  <c r="K18" i="36" s="1"/>
  <c r="H27" i="31"/>
  <c r="J27" i="31" s="1"/>
  <c r="H28" i="31"/>
  <c r="J28" i="31" s="1"/>
  <c r="L9" i="31"/>
  <c r="K54" i="31"/>
  <c r="K13" i="31"/>
  <c r="I7" i="36"/>
  <c r="K7" i="36" s="1"/>
  <c r="H16" i="30"/>
  <c r="J16" i="30" s="1"/>
  <c r="I30" i="35"/>
  <c r="K30" i="35" s="1"/>
  <c r="H11" i="21"/>
  <c r="J11" i="21" s="1"/>
  <c r="L34" i="31"/>
  <c r="K39" i="31"/>
  <c r="H10" i="31"/>
  <c r="G10" i="31" s="1"/>
  <c r="I10" i="31" s="1"/>
  <c r="H11" i="31"/>
  <c r="J11" i="31" s="1"/>
  <c r="I21" i="36"/>
  <c r="H21" i="36" s="1"/>
  <c r="J21" i="36" s="1"/>
  <c r="I9" i="39"/>
  <c r="K9" i="39" s="1"/>
  <c r="K11" i="39" s="1"/>
  <c r="I15" i="36"/>
  <c r="L41" i="31"/>
  <c r="K44" i="31"/>
  <c r="I40" i="36"/>
  <c r="H40" i="36" s="1"/>
  <c r="J40" i="36" s="1"/>
  <c r="K76" i="2" s="1"/>
  <c r="I43" i="36"/>
  <c r="K43" i="36" s="1"/>
  <c r="I27" i="35"/>
  <c r="K27" i="35" s="1"/>
  <c r="M10" i="16"/>
  <c r="O10" i="16" s="1"/>
  <c r="I37" i="36"/>
  <c r="K37" i="36" s="1"/>
  <c r="M12" i="41"/>
  <c r="O12" i="41" s="1"/>
  <c r="I12" i="37"/>
  <c r="H12" i="37" s="1"/>
  <c r="J12" i="37" s="1"/>
  <c r="K80" i="2" s="1"/>
  <c r="M80" i="2" s="1"/>
  <c r="M8" i="40"/>
  <c r="O8" i="40" s="1"/>
  <c r="I14" i="36"/>
  <c r="K14" i="36" s="1"/>
  <c r="I10" i="21"/>
  <c r="K10" i="21" s="1"/>
  <c r="K16" i="21" s="1"/>
  <c r="K17" i="21" s="1"/>
  <c r="L32" i="35"/>
  <c r="M11" i="16"/>
  <c r="L11" i="16" s="1"/>
  <c r="N11" i="16" s="1"/>
  <c r="I29" i="35"/>
  <c r="K29" i="35" s="1"/>
  <c r="I34" i="36"/>
  <c r="H34" i="36" s="1"/>
  <c r="J34" i="36" s="1"/>
  <c r="K74" i="2" s="1"/>
  <c r="I31" i="36"/>
  <c r="K31" i="36" s="1"/>
  <c r="H25" i="31"/>
  <c r="H24" i="31"/>
  <c r="J24" i="31" s="1"/>
  <c r="M12" i="32"/>
  <c r="L12" i="32" s="1"/>
  <c r="N12" i="32" s="1"/>
  <c r="O12" i="32" s="1"/>
  <c r="H23" i="31"/>
  <c r="J23" i="31" s="1"/>
  <c r="I25" i="36"/>
  <c r="H25" i="36" s="1"/>
  <c r="J25" i="36" s="1"/>
  <c r="I9" i="38"/>
  <c r="K9" i="38" s="1"/>
  <c r="K11" i="38" s="1"/>
  <c r="M9" i="40"/>
  <c r="M17" i="40" s="1"/>
  <c r="M13" i="16"/>
  <c r="O13" i="16" s="1"/>
  <c r="H10" i="30"/>
  <c r="J10" i="30" s="1"/>
  <c r="I28" i="35"/>
  <c r="K28" i="35" s="1"/>
  <c r="M9" i="16"/>
  <c r="O9" i="16" s="1"/>
  <c r="M8" i="16"/>
  <c r="O8" i="16" s="1"/>
  <c r="M14" i="16"/>
  <c r="O14" i="16" s="1"/>
  <c r="H26" i="31"/>
  <c r="J26" i="31" s="1"/>
  <c r="L48" i="31"/>
  <c r="K50" i="31"/>
  <c r="M11" i="41"/>
  <c r="O11" i="41" s="1"/>
  <c r="I11" i="36"/>
  <c r="H11" i="36" s="1"/>
  <c r="J11" i="36" s="1"/>
  <c r="I28" i="36"/>
  <c r="K28" i="36" s="1"/>
  <c r="L23" i="31"/>
  <c r="K32" i="31"/>
  <c r="L11" i="32"/>
  <c r="N11" i="32" s="1"/>
  <c r="O11" i="32" s="1"/>
  <c r="G46" i="31"/>
  <c r="I46" i="31" s="1"/>
  <c r="H18" i="33"/>
  <c r="G43" i="31"/>
  <c r="I43" i="31" s="1"/>
  <c r="G35" i="31"/>
  <c r="I35" i="31" s="1"/>
  <c r="G48" i="31"/>
  <c r="I48" i="31" s="1"/>
  <c r="G20" i="31"/>
  <c r="I20" i="31" s="1"/>
  <c r="L10" i="32"/>
  <c r="N10" i="32" s="1"/>
  <c r="O10" i="32" s="1"/>
  <c r="G52" i="31"/>
  <c r="I52" i="31" s="1"/>
  <c r="G37" i="31"/>
  <c r="I37" i="31" s="1"/>
  <c r="G41" i="31"/>
  <c r="I41" i="31" s="1"/>
  <c r="G49" i="31"/>
  <c r="I49" i="31" s="1"/>
  <c r="G42" i="31"/>
  <c r="I42" i="31" s="1"/>
  <c r="G38" i="31"/>
  <c r="I38" i="31" s="1"/>
  <c r="G36" i="31"/>
  <c r="I36" i="31" s="1"/>
  <c r="O30" i="2"/>
  <c r="H13" i="21"/>
  <c r="J13" i="21" s="1"/>
  <c r="L17" i="41"/>
  <c r="Q9" i="32"/>
  <c r="Q11" i="32"/>
  <c r="L18" i="41"/>
  <c r="M11" i="35"/>
  <c r="H10" i="33"/>
  <c r="H12" i="35"/>
  <c r="J12" i="35" s="1"/>
  <c r="M12" i="35" s="1"/>
  <c r="H19" i="35"/>
  <c r="J19" i="35" s="1"/>
  <c r="M19" i="35" s="1"/>
  <c r="G34" i="31"/>
  <c r="I34" i="31" s="1"/>
  <c r="O12" i="40"/>
  <c r="M20" i="40"/>
  <c r="O20" i="40" s="1"/>
  <c r="P25" i="2"/>
  <c r="V25" i="2" s="1"/>
  <c r="P22" i="2"/>
  <c r="P14" i="2"/>
  <c r="P13" i="2"/>
  <c r="P24" i="2"/>
  <c r="P16" i="2"/>
  <c r="P15" i="2"/>
  <c r="P18" i="2"/>
  <c r="P27" i="2"/>
  <c r="P19" i="2"/>
  <c r="P28" i="2"/>
  <c r="P29" i="2"/>
  <c r="I38" i="41"/>
  <c r="J18" i="41" s="1"/>
  <c r="O18" i="41" s="1"/>
  <c r="R16" i="2"/>
  <c r="M18" i="40"/>
  <c r="O10" i="40"/>
  <c r="R19" i="2"/>
  <c r="H38" i="41"/>
  <c r="J17" i="41" s="1"/>
  <c r="O17" i="41" s="1"/>
  <c r="R20" i="2"/>
  <c r="R15" i="2"/>
  <c r="R21" i="2"/>
  <c r="R13" i="2"/>
  <c r="L27" i="2"/>
  <c r="L29" i="2"/>
  <c r="R24" i="2"/>
  <c r="K22" i="36"/>
  <c r="Q12" i="32"/>
  <c r="Q10" i="32"/>
  <c r="L8" i="32"/>
  <c r="N8" i="32" s="1"/>
  <c r="O8" i="32" s="1"/>
  <c r="L9" i="32"/>
  <c r="N9" i="32" s="1"/>
  <c r="P13" i="32"/>
  <c r="J12" i="31"/>
  <c r="G12" i="31"/>
  <c r="I12" i="31" s="1"/>
  <c r="AA29" i="2"/>
  <c r="AQ29" i="2"/>
  <c r="AI29" i="2"/>
  <c r="S29" i="2"/>
  <c r="AM29" i="2"/>
  <c r="W29" i="2"/>
  <c r="AE29" i="2"/>
  <c r="F6" i="7"/>
  <c r="N45" i="22" s="1"/>
  <c r="I14" i="34"/>
  <c r="H12" i="21"/>
  <c r="J12" i="21" s="1"/>
  <c r="L16" i="21"/>
  <c r="H6" i="36"/>
  <c r="J6" i="36" s="1"/>
  <c r="H13" i="34"/>
  <c r="K6" i="36"/>
  <c r="M19" i="40"/>
  <c r="O19" i="40" s="1"/>
  <c r="O11" i="40"/>
  <c r="C8" i="6"/>
  <c r="I10" i="37" s="1"/>
  <c r="C6" i="6"/>
  <c r="H10" i="35"/>
  <c r="J10" i="35" s="1"/>
  <c r="M10" i="35" s="1"/>
  <c r="H31" i="35"/>
  <c r="J31" i="35" s="1"/>
  <c r="M31" i="35" s="1"/>
  <c r="H18" i="35"/>
  <c r="J18" i="35" s="1"/>
  <c r="M18" i="35" s="1"/>
  <c r="H12" i="33"/>
  <c r="H13" i="33"/>
  <c r="H17" i="35"/>
  <c r="J17" i="35" s="1"/>
  <c r="M17" i="35" s="1"/>
  <c r="H16" i="35"/>
  <c r="J16" i="35" s="1"/>
  <c r="M16" i="35" s="1"/>
  <c r="H21" i="35"/>
  <c r="J21" i="35" s="1"/>
  <c r="M21" i="35" s="1"/>
  <c r="H20" i="35"/>
  <c r="J20" i="35" s="1"/>
  <c r="M20" i="35" s="1"/>
  <c r="H20" i="33"/>
  <c r="H22" i="35"/>
  <c r="J22" i="35" s="1"/>
  <c r="M22" i="35" s="1"/>
  <c r="H16" i="33"/>
  <c r="L15" i="41"/>
  <c r="L16" i="41"/>
  <c r="AS29" i="2"/>
  <c r="AO29" i="2"/>
  <c r="AK29" i="2"/>
  <c r="AG29" i="2"/>
  <c r="AC29" i="2"/>
  <c r="Y29" i="2"/>
  <c r="U29" i="2"/>
  <c r="AO22" i="2"/>
  <c r="AG22" i="2"/>
  <c r="U22" i="2"/>
  <c r="AC22" i="2"/>
  <c r="AK22" i="2"/>
  <c r="AS22" i="2"/>
  <c r="Y22" i="2"/>
  <c r="L23" i="35"/>
  <c r="L13" i="35"/>
  <c r="AC19" i="2"/>
  <c r="Y19" i="2"/>
  <c r="AG19" i="2"/>
  <c r="AS19" i="2"/>
  <c r="U19" i="2"/>
  <c r="AK19" i="2"/>
  <c r="AO19" i="2"/>
  <c r="AS20" i="2"/>
  <c r="AO20" i="2"/>
  <c r="AK20" i="2"/>
  <c r="AG20" i="2"/>
  <c r="AC20" i="2"/>
  <c r="Y20" i="2"/>
  <c r="U20" i="2"/>
  <c r="AC18" i="2"/>
  <c r="AG18" i="2"/>
  <c r="AS18" i="2"/>
  <c r="U18" i="2"/>
  <c r="AK18" i="2"/>
  <c r="AO18" i="2"/>
  <c r="Y18" i="2"/>
  <c r="AG14" i="2"/>
  <c r="AS14" i="2"/>
  <c r="U14" i="2"/>
  <c r="AK14" i="2"/>
  <c r="Y14" i="2"/>
  <c r="AO14" i="2"/>
  <c r="AC14" i="2"/>
  <c r="AS21" i="2"/>
  <c r="AO21" i="2"/>
  <c r="AK21" i="2"/>
  <c r="AG21" i="2"/>
  <c r="AC21" i="2"/>
  <c r="Y21" i="2"/>
  <c r="U21" i="2"/>
  <c r="A41" i="2"/>
  <c r="H10" i="34"/>
  <c r="L12" i="40"/>
  <c r="N12" i="40" s="1"/>
  <c r="L10" i="40"/>
  <c r="N10" i="40" s="1"/>
  <c r="L11" i="40"/>
  <c r="N11" i="40" s="1"/>
  <c r="J10" i="36"/>
  <c r="H22" i="36"/>
  <c r="J22" i="36" s="1"/>
  <c r="G7" i="7"/>
  <c r="F169" i="8" s="1"/>
  <c r="I169" i="8" s="1"/>
  <c r="H45" i="23" s="1"/>
  <c r="J45" i="23" s="1"/>
  <c r="F7" i="7"/>
  <c r="N45" i="23" s="1"/>
  <c r="J29" i="31"/>
  <c r="G29" i="31"/>
  <c r="I29" i="31" s="1"/>
  <c r="J31" i="31"/>
  <c r="G31" i="31"/>
  <c r="I31" i="31" s="1"/>
  <c r="G21" i="31"/>
  <c r="I21" i="31" s="1"/>
  <c r="K39" i="2" s="1"/>
  <c r="J21" i="31"/>
  <c r="G30" i="31"/>
  <c r="I30" i="31" s="1"/>
  <c r="J30" i="31"/>
  <c r="J15" i="31"/>
  <c r="G15" i="31"/>
  <c r="J17" i="31"/>
  <c r="G17" i="31"/>
  <c r="I17" i="31" s="1"/>
  <c r="K37" i="2" s="1"/>
  <c r="J19" i="31"/>
  <c r="G19" i="31"/>
  <c r="I19" i="31" s="1"/>
  <c r="K38" i="2" s="1"/>
  <c r="F38" i="41"/>
  <c r="J15" i="41" s="1"/>
  <c r="G9" i="31"/>
  <c r="I9" i="31" s="1"/>
  <c r="J9" i="31"/>
  <c r="G38" i="41"/>
  <c r="J16" i="41" s="1"/>
  <c r="I45" i="23" l="1"/>
  <c r="H9" i="39"/>
  <c r="J9" i="39" s="1"/>
  <c r="J11" i="39" s="1"/>
  <c r="I45" i="22"/>
  <c r="P20" i="2" s="1"/>
  <c r="AL20" i="2" s="1"/>
  <c r="H10" i="21"/>
  <c r="J10" i="21" s="1"/>
  <c r="J16" i="21" s="1"/>
  <c r="K92" i="2" s="1"/>
  <c r="N92" i="2" s="1"/>
  <c r="L9" i="40"/>
  <c r="N9" i="40" s="1"/>
  <c r="H31" i="36"/>
  <c r="J31" i="36" s="1"/>
  <c r="K73" i="2" s="1"/>
  <c r="L73" i="2" s="1"/>
  <c r="M16" i="40"/>
  <c r="L16" i="40" s="1"/>
  <c r="N16" i="40" s="1"/>
  <c r="H30" i="35"/>
  <c r="J30" i="35" s="1"/>
  <c r="M30" i="35" s="1"/>
  <c r="L12" i="41"/>
  <c r="N12" i="41" s="1"/>
  <c r="H37" i="36"/>
  <c r="J37" i="36" s="1"/>
  <c r="K75" i="2" s="1"/>
  <c r="Q75" i="2" s="1"/>
  <c r="G26" i="31"/>
  <c r="I26" i="31" s="1"/>
  <c r="I16" i="36"/>
  <c r="G11" i="31"/>
  <c r="I11" i="31" s="1"/>
  <c r="I13" i="31" s="1"/>
  <c r="K35" i="2" s="1"/>
  <c r="G23" i="31"/>
  <c r="I23" i="31" s="1"/>
  <c r="L8" i="16"/>
  <c r="N8" i="16" s="1"/>
  <c r="G28" i="31"/>
  <c r="I28" i="31" s="1"/>
  <c r="K32" i="35"/>
  <c r="K35" i="35" s="1"/>
  <c r="L10" i="16"/>
  <c r="N10" i="16" s="1"/>
  <c r="G27" i="31"/>
  <c r="I27" i="31" s="1"/>
  <c r="H28" i="36"/>
  <c r="J28" i="36" s="1"/>
  <c r="K72" i="2" s="1"/>
  <c r="N72" i="2" s="1"/>
  <c r="L8" i="40"/>
  <c r="N8" i="40" s="1"/>
  <c r="I8" i="36"/>
  <c r="H7" i="36"/>
  <c r="J7" i="36" s="1"/>
  <c r="J8" i="36" s="1"/>
  <c r="K66" i="2" s="1"/>
  <c r="Q66" i="2" s="1"/>
  <c r="L13" i="16"/>
  <c r="N13" i="16" s="1"/>
  <c r="H13" i="31"/>
  <c r="H43" i="36"/>
  <c r="J43" i="36" s="1"/>
  <c r="K77" i="2" s="1"/>
  <c r="O77" i="2" s="1"/>
  <c r="H32" i="31"/>
  <c r="H14" i="36"/>
  <c r="J14" i="36" s="1"/>
  <c r="H27" i="35"/>
  <c r="J27" i="35" s="1"/>
  <c r="M27" i="35" s="1"/>
  <c r="H28" i="35"/>
  <c r="J28" i="35" s="1"/>
  <c r="M28" i="35" s="1"/>
  <c r="G24" i="31"/>
  <c r="I24" i="31" s="1"/>
  <c r="H29" i="35"/>
  <c r="J29" i="35" s="1"/>
  <c r="M29" i="35" s="1"/>
  <c r="K50" i="2"/>
  <c r="R50" i="2" s="1"/>
  <c r="H9" i="38"/>
  <c r="J9" i="38" s="1"/>
  <c r="K82" i="2" s="1"/>
  <c r="N82" i="2" s="1"/>
  <c r="H15" i="36"/>
  <c r="J15" i="36" s="1"/>
  <c r="I23" i="36"/>
  <c r="G25" i="31"/>
  <c r="I25" i="31" s="1"/>
  <c r="K12" i="37"/>
  <c r="K40" i="36"/>
  <c r="K15" i="36"/>
  <c r="K16" i="36" s="1"/>
  <c r="K21" i="36"/>
  <c r="K23" i="36" s="1"/>
  <c r="J10" i="31"/>
  <c r="J13" i="31" s="1"/>
  <c r="J18" i="30"/>
  <c r="K33" i="2" s="1"/>
  <c r="O33" i="2" s="1"/>
  <c r="L11" i="41"/>
  <c r="N11" i="41" s="1"/>
  <c r="O17" i="40"/>
  <c r="L17" i="40"/>
  <c r="N17" i="40" s="1"/>
  <c r="L9" i="16"/>
  <c r="N9" i="16" s="1"/>
  <c r="O9" i="40"/>
  <c r="O14" i="40" s="1"/>
  <c r="L14" i="16"/>
  <c r="N14" i="16" s="1"/>
  <c r="I12" i="36"/>
  <c r="K25" i="36"/>
  <c r="J25" i="31"/>
  <c r="J32" i="31" s="1"/>
  <c r="K34" i="36"/>
  <c r="O11" i="16"/>
  <c r="O15" i="16" s="1"/>
  <c r="K11" i="36"/>
  <c r="K12" i="36" s="1"/>
  <c r="K8" i="36"/>
  <c r="K47" i="2"/>
  <c r="R47" i="2" s="1"/>
  <c r="J23" i="36"/>
  <c r="H18" i="36"/>
  <c r="J18" i="36" s="1"/>
  <c r="K69" i="2" s="1"/>
  <c r="Q69" i="2" s="1"/>
  <c r="N18" i="41"/>
  <c r="N17" i="41"/>
  <c r="O80" i="2"/>
  <c r="N80" i="2"/>
  <c r="R80" i="2"/>
  <c r="P80" i="2"/>
  <c r="L80" i="2"/>
  <c r="Q80" i="2"/>
  <c r="AD25" i="2"/>
  <c r="Z16" i="2"/>
  <c r="K84" i="2"/>
  <c r="O84" i="2" s="1"/>
  <c r="K49" i="2"/>
  <c r="L49" i="2" s="1"/>
  <c r="AL25" i="2"/>
  <c r="L50" i="31"/>
  <c r="I50" i="31" s="1"/>
  <c r="AL19" i="2"/>
  <c r="AD16" i="2"/>
  <c r="AL16" i="2"/>
  <c r="AP16" i="2"/>
  <c r="AP19" i="2"/>
  <c r="AD19" i="2"/>
  <c r="L13" i="31"/>
  <c r="AT25" i="2"/>
  <c r="V19" i="2"/>
  <c r="Z25" i="2"/>
  <c r="AH25" i="2"/>
  <c r="AH19" i="2"/>
  <c r="AT19" i="2"/>
  <c r="AP24" i="2"/>
  <c r="J13" i="35"/>
  <c r="AP25" i="2"/>
  <c r="Z19" i="2"/>
  <c r="L54" i="31"/>
  <c r="L20" i="40"/>
  <c r="N20" i="40" s="1"/>
  <c r="Z24" i="2"/>
  <c r="AD24" i="2"/>
  <c r="AH16" i="2"/>
  <c r="V24" i="2"/>
  <c r="AT24" i="2"/>
  <c r="V16" i="2"/>
  <c r="AL24" i="2"/>
  <c r="AH24" i="2"/>
  <c r="J12" i="36"/>
  <c r="K67" i="2" s="1"/>
  <c r="O67" i="2" s="1"/>
  <c r="AT16" i="2"/>
  <c r="V13" i="2"/>
  <c r="AL13" i="2"/>
  <c r="AD13" i="2"/>
  <c r="AT13" i="2"/>
  <c r="AH13" i="2"/>
  <c r="Z13" i="2"/>
  <c r="AP13" i="2"/>
  <c r="O18" i="40"/>
  <c r="L18" i="40"/>
  <c r="N18" i="40" s="1"/>
  <c r="V15" i="2"/>
  <c r="AL15" i="2"/>
  <c r="AD15" i="2"/>
  <c r="AH15" i="2"/>
  <c r="AT15" i="2"/>
  <c r="Z15" i="2"/>
  <c r="AP15" i="2"/>
  <c r="AR29" i="2"/>
  <c r="T29" i="2"/>
  <c r="AF29" i="2"/>
  <c r="X29" i="2"/>
  <c r="AJ29" i="2"/>
  <c r="AB29" i="2"/>
  <c r="AN29" i="2"/>
  <c r="AF27" i="2"/>
  <c r="X27" i="2"/>
  <c r="AN27" i="2"/>
  <c r="AB27" i="2"/>
  <c r="T27" i="2"/>
  <c r="AR27" i="2"/>
  <c r="AJ27" i="2"/>
  <c r="O9" i="32"/>
  <c r="O13" i="32" s="1"/>
  <c r="K48" i="2"/>
  <c r="M13" i="35"/>
  <c r="L19" i="40"/>
  <c r="N19" i="40" s="1"/>
  <c r="L39" i="31"/>
  <c r="I39" i="31" s="1"/>
  <c r="K41" i="2" s="1"/>
  <c r="N41" i="2" s="1"/>
  <c r="M23" i="35"/>
  <c r="J13" i="33"/>
  <c r="L32" i="31"/>
  <c r="J23" i="35"/>
  <c r="L44" i="31"/>
  <c r="I44" i="31" s="1"/>
  <c r="L35" i="35"/>
  <c r="A42" i="2"/>
  <c r="J20" i="33"/>
  <c r="K56" i="2" s="1"/>
  <c r="R56" i="2" s="1"/>
  <c r="J10" i="33"/>
  <c r="K52" i="2" s="1"/>
  <c r="J12" i="33"/>
  <c r="J10" i="34"/>
  <c r="K58" i="2" s="1"/>
  <c r="J18" i="33"/>
  <c r="K55" i="2" s="1"/>
  <c r="K13" i="33"/>
  <c r="K13" i="34"/>
  <c r="K20" i="33"/>
  <c r="K16" i="33"/>
  <c r="K12" i="33"/>
  <c r="K10" i="33"/>
  <c r="K12" i="34"/>
  <c r="K10" i="34"/>
  <c r="K18" i="33"/>
  <c r="J16" i="33"/>
  <c r="J13" i="34"/>
  <c r="J12" i="34"/>
  <c r="M76" i="2"/>
  <c r="N76" i="2"/>
  <c r="R76" i="2"/>
  <c r="L76" i="2"/>
  <c r="Q76" i="2"/>
  <c r="P76" i="2"/>
  <c r="O76" i="2"/>
  <c r="L74" i="2"/>
  <c r="R74" i="2"/>
  <c r="Q74" i="2"/>
  <c r="O74" i="2"/>
  <c r="M74" i="2"/>
  <c r="N74" i="2"/>
  <c r="P74" i="2"/>
  <c r="N13" i="32"/>
  <c r="I15" i="31"/>
  <c r="K36" i="2" s="1"/>
  <c r="O15" i="41"/>
  <c r="N15" i="41"/>
  <c r="D8" i="5"/>
  <c r="O16" i="41"/>
  <c r="N16" i="41"/>
  <c r="M75" i="2" l="1"/>
  <c r="Q73" i="2"/>
  <c r="Z20" i="2"/>
  <c r="AT20" i="2"/>
  <c r="AP20" i="2"/>
  <c r="V20" i="2"/>
  <c r="AH20" i="2"/>
  <c r="AD20" i="2"/>
  <c r="O75" i="2"/>
  <c r="R75" i="2"/>
  <c r="P73" i="2"/>
  <c r="L75" i="2"/>
  <c r="N73" i="2"/>
  <c r="N50" i="2"/>
  <c r="P75" i="2"/>
  <c r="M73" i="2"/>
  <c r="R73" i="2"/>
  <c r="O47" i="2"/>
  <c r="M50" i="2"/>
  <c r="N75" i="2"/>
  <c r="O73" i="2"/>
  <c r="O16" i="40"/>
  <c r="O22" i="40" s="1"/>
  <c r="O24" i="40" s="1"/>
  <c r="J11" i="38"/>
  <c r="N22" i="40"/>
  <c r="N14" i="40"/>
  <c r="P77" i="2"/>
  <c r="R82" i="2"/>
  <c r="Q77" i="2"/>
  <c r="L77" i="2"/>
  <c r="M32" i="35"/>
  <c r="M35" i="35" s="1"/>
  <c r="N77" i="2"/>
  <c r="L82" i="2"/>
  <c r="N15" i="16"/>
  <c r="K91" i="2" s="1"/>
  <c r="Q91" i="2" s="1"/>
  <c r="Q50" i="2"/>
  <c r="L50" i="2"/>
  <c r="I32" i="31"/>
  <c r="K40" i="2" s="1"/>
  <c r="O40" i="2" s="1"/>
  <c r="O50" i="2"/>
  <c r="P50" i="2"/>
  <c r="N47" i="2"/>
  <c r="M77" i="2"/>
  <c r="L69" i="2"/>
  <c r="M82" i="2"/>
  <c r="O82" i="2"/>
  <c r="R77" i="2"/>
  <c r="O69" i="2"/>
  <c r="Q82" i="2"/>
  <c r="P82" i="2"/>
  <c r="J16" i="36"/>
  <c r="K68" i="2" s="1"/>
  <c r="N68" i="2" s="1"/>
  <c r="J32" i="35"/>
  <c r="J35" i="35" s="1"/>
  <c r="M47" i="2"/>
  <c r="Q47" i="2"/>
  <c r="P69" i="2"/>
  <c r="M69" i="2"/>
  <c r="N69" i="2"/>
  <c r="R69" i="2"/>
  <c r="K45" i="36"/>
  <c r="L47" i="2"/>
  <c r="P47" i="2"/>
  <c r="J17" i="21"/>
  <c r="Q84" i="2"/>
  <c r="N84" i="2"/>
  <c r="M84" i="2"/>
  <c r="P84" i="2"/>
  <c r="L84" i="2"/>
  <c r="R84" i="2"/>
  <c r="N49" i="2"/>
  <c r="Q49" i="2"/>
  <c r="O49" i="2"/>
  <c r="R49" i="2"/>
  <c r="P49" i="2"/>
  <c r="M49" i="2"/>
  <c r="K61" i="2"/>
  <c r="L61" i="2" s="1"/>
  <c r="K62" i="2"/>
  <c r="N62" i="2" s="1"/>
  <c r="N48" i="2"/>
  <c r="O48" i="2"/>
  <c r="P48" i="2"/>
  <c r="M48" i="2"/>
  <c r="L48" i="2"/>
  <c r="R48" i="2"/>
  <c r="Q48" i="2"/>
  <c r="J14" i="33"/>
  <c r="J23" i="33" s="1"/>
  <c r="R41" i="2"/>
  <c r="P41" i="2"/>
  <c r="P21" i="2"/>
  <c r="K14" i="33"/>
  <c r="K23" i="33" s="1"/>
  <c r="M67" i="2"/>
  <c r="R67" i="2"/>
  <c r="Q67" i="2"/>
  <c r="P67" i="2"/>
  <c r="N67" i="2"/>
  <c r="L67" i="2"/>
  <c r="K42" i="2"/>
  <c r="L33" i="2"/>
  <c r="R92" i="2"/>
  <c r="L92" i="2"/>
  <c r="P92" i="2"/>
  <c r="M92" i="2"/>
  <c r="O92" i="2"/>
  <c r="M66" i="2"/>
  <c r="O41" i="2"/>
  <c r="L41" i="2"/>
  <c r="P56" i="2"/>
  <c r="M56" i="2"/>
  <c r="O56" i="2"/>
  <c r="L56" i="2"/>
  <c r="Q56" i="2"/>
  <c r="N56" i="2"/>
  <c r="R66" i="2"/>
  <c r="P66" i="2"/>
  <c r="L66" i="2"/>
  <c r="O66" i="2"/>
  <c r="N66" i="2"/>
  <c r="M41" i="2"/>
  <c r="Q41" i="2"/>
  <c r="R33" i="2"/>
  <c r="Q33" i="2"/>
  <c r="M33" i="2"/>
  <c r="N33" i="2"/>
  <c r="P33" i="2"/>
  <c r="M72" i="2"/>
  <c r="K54" i="2"/>
  <c r="R54" i="2" s="1"/>
  <c r="O72" i="2"/>
  <c r="L72" i="2"/>
  <c r="R72" i="2"/>
  <c r="P72" i="2"/>
  <c r="Q72" i="2"/>
  <c r="Q92" i="2"/>
  <c r="A43" i="2"/>
  <c r="J14" i="34"/>
  <c r="J16" i="34"/>
  <c r="K14" i="34"/>
  <c r="K16" i="34"/>
  <c r="P55" i="2"/>
  <c r="L55" i="2"/>
  <c r="M55" i="2"/>
  <c r="N55" i="2"/>
  <c r="R55" i="2"/>
  <c r="Q55" i="2"/>
  <c r="O55" i="2"/>
  <c r="O19" i="41"/>
  <c r="R58" i="2"/>
  <c r="N58" i="2"/>
  <c r="I54" i="31"/>
  <c r="Q58" i="2"/>
  <c r="L58" i="2"/>
  <c r="R36" i="2"/>
  <c r="N36" i="2"/>
  <c r="L36" i="2"/>
  <c r="Q36" i="2"/>
  <c r="M36" i="2"/>
  <c r="O36" i="2"/>
  <c r="P36" i="2"/>
  <c r="O37" i="2"/>
  <c r="Q37" i="2"/>
  <c r="L37" i="2"/>
  <c r="R37" i="2"/>
  <c r="N37" i="2"/>
  <c r="P37" i="2"/>
  <c r="M37" i="2"/>
  <c r="N19" i="41"/>
  <c r="K88" i="2" s="1"/>
  <c r="L52" i="2"/>
  <c r="M52" i="2"/>
  <c r="R52" i="2"/>
  <c r="Q52" i="2"/>
  <c r="P52" i="2"/>
  <c r="N52" i="2"/>
  <c r="O52" i="2"/>
  <c r="P39" i="2"/>
  <c r="L39" i="2"/>
  <c r="O39" i="2"/>
  <c r="N39" i="2"/>
  <c r="R39" i="2"/>
  <c r="M39" i="2"/>
  <c r="Q39" i="2"/>
  <c r="R38" i="2"/>
  <c r="N38" i="2"/>
  <c r="M38" i="2"/>
  <c r="L38" i="2"/>
  <c r="Q38" i="2"/>
  <c r="O38" i="2"/>
  <c r="P38" i="2"/>
  <c r="R35" i="2"/>
  <c r="Q35" i="2"/>
  <c r="P35" i="2"/>
  <c r="O35" i="2"/>
  <c r="N35" i="2"/>
  <c r="M35" i="2"/>
  <c r="L35" i="2"/>
  <c r="I184" i="8"/>
  <c r="H11" i="20" s="1"/>
  <c r="I176" i="8"/>
  <c r="H19" i="25" s="1"/>
  <c r="I162" i="8"/>
  <c r="H23" i="25" s="1"/>
  <c r="I154" i="8"/>
  <c r="H3" i="29" s="1"/>
  <c r="I146" i="8"/>
  <c r="H2" i="29" s="1"/>
  <c r="I138" i="8"/>
  <c r="H12" i="28" s="1"/>
  <c r="I130" i="8"/>
  <c r="I122" i="8"/>
  <c r="I114" i="8"/>
  <c r="I106" i="8"/>
  <c r="I98" i="8"/>
  <c r="H28" i="23" s="1"/>
  <c r="I90" i="8"/>
  <c r="I82" i="8"/>
  <c r="H22" i="19" s="1"/>
  <c r="I76" i="8"/>
  <c r="I70" i="8"/>
  <c r="H26" i="18" s="1"/>
  <c r="I62" i="8"/>
  <c r="I54" i="8"/>
  <c r="H40" i="22" s="1"/>
  <c r="I46" i="8"/>
  <c r="H31" i="22" s="1"/>
  <c r="I38" i="8"/>
  <c r="I30" i="8"/>
  <c r="I22" i="8"/>
  <c r="H21" i="14" s="1"/>
  <c r="I14" i="8"/>
  <c r="I6" i="8"/>
  <c r="I183" i="8"/>
  <c r="H9" i="20" s="1"/>
  <c r="I175" i="8"/>
  <c r="H24" i="28" s="1"/>
  <c r="I168" i="8"/>
  <c r="H37" i="23" s="1"/>
  <c r="I161" i="8"/>
  <c r="I153" i="8"/>
  <c r="H26" i="28" s="1"/>
  <c r="I145" i="8"/>
  <c r="H3" i="27" s="1"/>
  <c r="I137" i="8"/>
  <c r="H11" i="28" s="1"/>
  <c r="I129" i="8"/>
  <c r="I121" i="8"/>
  <c r="I113" i="8"/>
  <c r="I105" i="8"/>
  <c r="H35" i="23" s="1"/>
  <c r="I97" i="8"/>
  <c r="I89" i="8"/>
  <c r="I81" i="8"/>
  <c r="H21" i="19" s="1"/>
  <c r="I75" i="8"/>
  <c r="H13" i="19" s="1"/>
  <c r="I69" i="8"/>
  <c r="I61" i="8"/>
  <c r="I53" i="8"/>
  <c r="H39" i="22" s="1"/>
  <c r="I45" i="8"/>
  <c r="I37" i="8"/>
  <c r="I29" i="8"/>
  <c r="H28" i="14" s="1"/>
  <c r="I21" i="8"/>
  <c r="H20" i="14" s="1"/>
  <c r="I13" i="8"/>
  <c r="I5" i="8"/>
  <c r="I190" i="8"/>
  <c r="H16" i="17" s="1"/>
  <c r="I182" i="8"/>
  <c r="I174" i="8"/>
  <c r="H20" i="28" s="1"/>
  <c r="I160" i="8"/>
  <c r="I152" i="8"/>
  <c r="H25" i="28" s="1"/>
  <c r="I144" i="8"/>
  <c r="H2" i="27" s="1"/>
  <c r="I136" i="8"/>
  <c r="I128" i="8"/>
  <c r="H18" i="25" s="1"/>
  <c r="I120" i="8"/>
  <c r="I112" i="8"/>
  <c r="I104" i="8"/>
  <c r="I96" i="8"/>
  <c r="I88" i="8"/>
  <c r="H11" i="23" s="1"/>
  <c r="I74" i="8"/>
  <c r="I68" i="8"/>
  <c r="H21" i="18" s="1"/>
  <c r="I60" i="8"/>
  <c r="I52" i="8"/>
  <c r="H38" i="22" s="1"/>
  <c r="I44" i="8"/>
  <c r="H29" i="22" s="1"/>
  <c r="I36" i="8"/>
  <c r="I28" i="8"/>
  <c r="I20" i="8"/>
  <c r="H19" i="14" s="1"/>
  <c r="I12" i="8"/>
  <c r="I4" i="8"/>
  <c r="I189" i="8"/>
  <c r="H15" i="17" s="1"/>
  <c r="I181" i="8"/>
  <c r="H18" i="26" s="1"/>
  <c r="I173" i="8"/>
  <c r="H16" i="28" s="1"/>
  <c r="I159" i="8"/>
  <c r="I151" i="8"/>
  <c r="H4" i="27" s="1"/>
  <c r="I143" i="8"/>
  <c r="I135" i="8"/>
  <c r="I127" i="8"/>
  <c r="I119" i="8"/>
  <c r="I111" i="8"/>
  <c r="H44" i="23" s="1"/>
  <c r="I103" i="8"/>
  <c r="H33" i="23" s="1"/>
  <c r="I95" i="8"/>
  <c r="H25" i="23" s="1"/>
  <c r="I87" i="8"/>
  <c r="I73" i="8"/>
  <c r="I67" i="8"/>
  <c r="I59" i="8"/>
  <c r="I51" i="8"/>
  <c r="H37" i="22" s="1"/>
  <c r="I43" i="8"/>
  <c r="H28" i="22" s="1"/>
  <c r="I35" i="8"/>
  <c r="H11" i="22" s="1"/>
  <c r="I27" i="8"/>
  <c r="I19" i="8"/>
  <c r="H18" i="14" s="1"/>
  <c r="I11" i="8"/>
  <c r="H10" i="14" s="1"/>
  <c r="I3" i="8"/>
  <c r="H2" i="14" s="1"/>
  <c r="I188" i="8"/>
  <c r="H13" i="17" s="1"/>
  <c r="I180" i="8"/>
  <c r="H15" i="28" s="1"/>
  <c r="I172" i="8"/>
  <c r="I166" i="8"/>
  <c r="H24" i="26" s="1"/>
  <c r="I158" i="8"/>
  <c r="I150" i="8"/>
  <c r="I142" i="8"/>
  <c r="H19" i="28" s="1"/>
  <c r="I134" i="8"/>
  <c r="I126" i="8"/>
  <c r="I118" i="8"/>
  <c r="I110" i="8"/>
  <c r="I102" i="8"/>
  <c r="I94" i="8"/>
  <c r="I86" i="8"/>
  <c r="I80" i="8"/>
  <c r="H20" i="19" s="1"/>
  <c r="I72" i="8"/>
  <c r="I66" i="8"/>
  <c r="H18" i="18" s="1"/>
  <c r="I58" i="8"/>
  <c r="I50" i="8"/>
  <c r="H36" i="22" s="1"/>
  <c r="I42" i="8"/>
  <c r="H27" i="22" s="1"/>
  <c r="I34" i="8"/>
  <c r="H10" i="22" s="1"/>
  <c r="I26" i="8"/>
  <c r="I18" i="8"/>
  <c r="I10" i="8"/>
  <c r="I187" i="8"/>
  <c r="H12" i="17" s="1"/>
  <c r="I179" i="8"/>
  <c r="I171" i="8"/>
  <c r="I165" i="8"/>
  <c r="H23" i="26" s="1"/>
  <c r="I157" i="8"/>
  <c r="I149" i="8"/>
  <c r="H23" i="28" s="1"/>
  <c r="I141" i="8"/>
  <c r="I133" i="8"/>
  <c r="I125" i="8"/>
  <c r="I117" i="8"/>
  <c r="I109" i="8"/>
  <c r="I101" i="8"/>
  <c r="H31" i="23" s="1"/>
  <c r="I93" i="8"/>
  <c r="I85" i="8"/>
  <c r="I79" i="8"/>
  <c r="H19" i="19" s="1"/>
  <c r="I65" i="8"/>
  <c r="H17" i="18" s="1"/>
  <c r="I57" i="8"/>
  <c r="I49" i="8"/>
  <c r="I41" i="8"/>
  <c r="H26" i="22" s="1"/>
  <c r="I33" i="8"/>
  <c r="I25" i="8"/>
  <c r="I17" i="8"/>
  <c r="I9" i="8"/>
  <c r="I186" i="8"/>
  <c r="H7" i="17" s="1"/>
  <c r="I178" i="8"/>
  <c r="I170" i="8"/>
  <c r="I164" i="8"/>
  <c r="I156" i="8"/>
  <c r="H28" i="28" s="1"/>
  <c r="I148" i="8"/>
  <c r="H22" i="28" s="1"/>
  <c r="I140" i="8"/>
  <c r="H17" i="28" s="1"/>
  <c r="I132" i="8"/>
  <c r="I124" i="8"/>
  <c r="I116" i="8"/>
  <c r="I108" i="8"/>
  <c r="I100" i="8"/>
  <c r="I92" i="8"/>
  <c r="I84" i="8"/>
  <c r="H4" i="23" s="1"/>
  <c r="I78" i="8"/>
  <c r="I64" i="8"/>
  <c r="H16" i="18" s="1"/>
  <c r="I56" i="8"/>
  <c r="H44" i="22" s="1"/>
  <c r="I48" i="8"/>
  <c r="I40" i="8"/>
  <c r="I32" i="8"/>
  <c r="I24" i="8"/>
  <c r="H23" i="14" s="1"/>
  <c r="I16" i="8"/>
  <c r="I8" i="8"/>
  <c r="I177" i="8"/>
  <c r="H19" i="26" s="1"/>
  <c r="I163" i="8"/>
  <c r="H24" i="25" s="1"/>
  <c r="I155" i="8"/>
  <c r="H27" i="28" s="1"/>
  <c r="I147" i="8"/>
  <c r="H21" i="28" s="1"/>
  <c r="I139" i="8"/>
  <c r="H13" i="28" s="1"/>
  <c r="I131" i="8"/>
  <c r="I123" i="8"/>
  <c r="I115" i="8"/>
  <c r="I107" i="8"/>
  <c r="I99" i="8"/>
  <c r="I91" i="8"/>
  <c r="I77" i="8"/>
  <c r="H15" i="19" s="1"/>
  <c r="I71" i="8"/>
  <c r="H27" i="18" s="1"/>
  <c r="I63" i="8"/>
  <c r="H15" i="18" s="1"/>
  <c r="I55" i="8"/>
  <c r="H41" i="22" s="1"/>
  <c r="I47" i="8"/>
  <c r="H32" i="22" s="1"/>
  <c r="I39" i="8"/>
  <c r="I31" i="8"/>
  <c r="H2" i="28" s="1"/>
  <c r="I23" i="8"/>
  <c r="I15" i="8"/>
  <c r="H14" i="14" s="1"/>
  <c r="I7" i="8"/>
  <c r="H6" i="14" s="1"/>
  <c r="K10" i="37"/>
  <c r="K14" i="37" s="1"/>
  <c r="H10" i="37"/>
  <c r="J10" i="37" s="1"/>
  <c r="M68" i="2" l="1"/>
  <c r="N24" i="40"/>
  <c r="J2" i="28"/>
  <c r="I2" i="28"/>
  <c r="AD45" i="2"/>
  <c r="AD46" i="2"/>
  <c r="I24" i="25"/>
  <c r="J24" i="25"/>
  <c r="I13" i="28"/>
  <c r="J13" i="28"/>
  <c r="J20" i="19"/>
  <c r="I20" i="19"/>
  <c r="J19" i="28"/>
  <c r="I19" i="28"/>
  <c r="J44" i="23"/>
  <c r="I44" i="23"/>
  <c r="I18" i="26"/>
  <c r="J18" i="26"/>
  <c r="J11" i="23"/>
  <c r="I11" i="23"/>
  <c r="I25" i="28"/>
  <c r="J25" i="28"/>
  <c r="I26" i="28"/>
  <c r="J26" i="28"/>
  <c r="J9" i="20"/>
  <c r="I9" i="20"/>
  <c r="I3" i="29"/>
  <c r="J3" i="29"/>
  <c r="I28" i="28"/>
  <c r="J28" i="28"/>
  <c r="J19" i="26"/>
  <c r="I19" i="26"/>
  <c r="K25" i="2" s="1"/>
  <c r="I19" i="19"/>
  <c r="J19" i="19"/>
  <c r="I15" i="19"/>
  <c r="K18" i="2" s="1"/>
  <c r="J15" i="19"/>
  <c r="J21" i="28"/>
  <c r="I21" i="28"/>
  <c r="I17" i="28"/>
  <c r="J17" i="28"/>
  <c r="I23" i="28"/>
  <c r="J23" i="28"/>
  <c r="I15" i="28"/>
  <c r="J15" i="28"/>
  <c r="I4" i="27"/>
  <c r="Q27" i="2" s="1"/>
  <c r="J4" i="27"/>
  <c r="I18" i="25"/>
  <c r="J18" i="25"/>
  <c r="J28" i="23"/>
  <c r="I28" i="23"/>
  <c r="J23" i="25"/>
  <c r="I23" i="25"/>
  <c r="I27" i="28"/>
  <c r="J27" i="28"/>
  <c r="J4" i="23"/>
  <c r="I4" i="23"/>
  <c r="I22" i="28"/>
  <c r="J22" i="28"/>
  <c r="J25" i="23"/>
  <c r="I25" i="23"/>
  <c r="J20" i="28"/>
  <c r="I20" i="28"/>
  <c r="J13" i="19"/>
  <c r="I13" i="19"/>
  <c r="J35" i="23"/>
  <c r="I35" i="23"/>
  <c r="I11" i="28"/>
  <c r="J11" i="28"/>
  <c r="I37" i="23"/>
  <c r="K21" i="2" s="1"/>
  <c r="J37" i="23"/>
  <c r="J12" i="28"/>
  <c r="I12" i="28"/>
  <c r="J19" i="25"/>
  <c r="I19" i="25"/>
  <c r="K24" i="2" s="1"/>
  <c r="J31" i="23"/>
  <c r="I31" i="23"/>
  <c r="J23" i="26"/>
  <c r="I23" i="26"/>
  <c r="I24" i="26"/>
  <c r="J24" i="26"/>
  <c r="J33" i="23"/>
  <c r="I33" i="23"/>
  <c r="I16" i="28"/>
  <c r="K28" i="2" s="1"/>
  <c r="J16" i="28"/>
  <c r="I2" i="27"/>
  <c r="J2" i="27"/>
  <c r="I21" i="19"/>
  <c r="J21" i="19"/>
  <c r="I3" i="27"/>
  <c r="J3" i="27"/>
  <c r="J24" i="28"/>
  <c r="I24" i="28"/>
  <c r="I22" i="19"/>
  <c r="J22" i="19"/>
  <c r="I2" i="29"/>
  <c r="J2" i="29"/>
  <c r="J11" i="20"/>
  <c r="I11" i="20"/>
  <c r="J45" i="36"/>
  <c r="L68" i="2"/>
  <c r="AD47" i="2"/>
  <c r="K86" i="2"/>
  <c r="M91" i="2"/>
  <c r="AD49" i="2"/>
  <c r="R40" i="2"/>
  <c r="R68" i="2"/>
  <c r="Q40" i="2"/>
  <c r="O91" i="2"/>
  <c r="O68" i="2"/>
  <c r="R91" i="2"/>
  <c r="N40" i="2"/>
  <c r="N91" i="2"/>
  <c r="AD43" i="2"/>
  <c r="AD44" i="2"/>
  <c r="P68" i="2"/>
  <c r="L40" i="2"/>
  <c r="P91" i="2"/>
  <c r="AD48" i="2"/>
  <c r="Q68" i="2"/>
  <c r="L91" i="2"/>
  <c r="K63" i="2"/>
  <c r="R63" i="2" s="1"/>
  <c r="M40" i="2"/>
  <c r="P40" i="2"/>
  <c r="I14" i="14"/>
  <c r="J14" i="14"/>
  <c r="J37" i="22"/>
  <c r="I37" i="22"/>
  <c r="K20" i="2" s="1"/>
  <c r="I12" i="17"/>
  <c r="K15" i="2" s="1"/>
  <c r="J12" i="17"/>
  <c r="I10" i="22"/>
  <c r="J10" i="22"/>
  <c r="I18" i="18"/>
  <c r="J18" i="18"/>
  <c r="J13" i="17"/>
  <c r="I13" i="17"/>
  <c r="J21" i="18"/>
  <c r="I21" i="18"/>
  <c r="K16" i="2" s="1"/>
  <c r="I31" i="22"/>
  <c r="J31" i="22"/>
  <c r="J15" i="17"/>
  <c r="I15" i="17"/>
  <c r="J15" i="18"/>
  <c r="I15" i="18"/>
  <c r="J44" i="22"/>
  <c r="I44" i="22"/>
  <c r="J7" i="17"/>
  <c r="I7" i="17"/>
  <c r="I17" i="18"/>
  <c r="J17" i="18"/>
  <c r="J27" i="22"/>
  <c r="I27" i="22"/>
  <c r="J2" i="14"/>
  <c r="I2" i="14"/>
  <c r="J11" i="22"/>
  <c r="I11" i="22"/>
  <c r="J29" i="22"/>
  <c r="I29" i="22"/>
  <c r="J20" i="14"/>
  <c r="I20" i="14"/>
  <c r="J39" i="22"/>
  <c r="I39" i="22"/>
  <c r="J21" i="14"/>
  <c r="I21" i="14"/>
  <c r="J40" i="22"/>
  <c r="I40" i="22"/>
  <c r="J32" i="22"/>
  <c r="I32" i="22"/>
  <c r="I18" i="14"/>
  <c r="J18" i="14"/>
  <c r="J26" i="18"/>
  <c r="I26" i="18"/>
  <c r="J41" i="22"/>
  <c r="I41" i="22"/>
  <c r="I23" i="14"/>
  <c r="K13" i="2" s="1"/>
  <c r="J23" i="14"/>
  <c r="I6" i="14"/>
  <c r="J6" i="14"/>
  <c r="I27" i="18"/>
  <c r="Q16" i="2" s="1"/>
  <c r="J27" i="18"/>
  <c r="J16" i="18"/>
  <c r="I16" i="18"/>
  <c r="I26" i="22"/>
  <c r="J26" i="22"/>
  <c r="I36" i="22"/>
  <c r="J36" i="22"/>
  <c r="I10" i="14"/>
  <c r="J10" i="14"/>
  <c r="I28" i="22"/>
  <c r="J28" i="22"/>
  <c r="J19" i="14"/>
  <c r="I19" i="14"/>
  <c r="J38" i="22"/>
  <c r="I38" i="22"/>
  <c r="I16" i="17"/>
  <c r="J16" i="17"/>
  <c r="J28" i="14"/>
  <c r="I28" i="14"/>
  <c r="O61" i="2"/>
  <c r="R61" i="2"/>
  <c r="Q62" i="2"/>
  <c r="R62" i="2"/>
  <c r="Q61" i="2"/>
  <c r="N61" i="2"/>
  <c r="M61" i="2"/>
  <c r="P61" i="2"/>
  <c r="AT21" i="2"/>
  <c r="P30" i="2"/>
  <c r="O62" i="2"/>
  <c r="K53" i="2"/>
  <c r="N53" i="2" s="1"/>
  <c r="P62" i="2"/>
  <c r="L62" i="2"/>
  <c r="M62" i="2"/>
  <c r="AH21" i="2"/>
  <c r="V21" i="2"/>
  <c r="AL21" i="2"/>
  <c r="Z21" i="2"/>
  <c r="AP21" i="2"/>
  <c r="AD21" i="2"/>
  <c r="K43" i="2"/>
  <c r="A70" i="2"/>
  <c r="K70" i="2" s="1"/>
  <c r="P54" i="2"/>
  <c r="N54" i="2"/>
  <c r="L54" i="2"/>
  <c r="O54" i="2"/>
  <c r="Q54" i="2"/>
  <c r="K19" i="2"/>
  <c r="K59" i="2"/>
  <c r="J14" i="37"/>
  <c r="K79" i="2"/>
  <c r="K87" i="2"/>
  <c r="P87" i="2" s="1"/>
  <c r="M54" i="2"/>
  <c r="R42" i="2"/>
  <c r="Q42" i="2"/>
  <c r="N42" i="2"/>
  <c r="P42" i="2"/>
  <c r="M42" i="2"/>
  <c r="L42" i="2"/>
  <c r="O42" i="2"/>
  <c r="A44" i="2"/>
  <c r="K44" i="2" s="1"/>
  <c r="O58" i="2"/>
  <c r="M58" i="2"/>
  <c r="P58" i="2"/>
  <c r="H9" i="22"/>
  <c r="H6" i="18"/>
  <c r="H3" i="17"/>
  <c r="H32" i="23"/>
  <c r="H33" i="24"/>
  <c r="H33" i="15"/>
  <c r="H3" i="24"/>
  <c r="H3" i="15"/>
  <c r="H43" i="24"/>
  <c r="H43" i="15"/>
  <c r="H4" i="24"/>
  <c r="H4" i="15"/>
  <c r="H2" i="26"/>
  <c r="H3" i="28"/>
  <c r="H2" i="25"/>
  <c r="H8" i="24"/>
  <c r="H8" i="15"/>
  <c r="H49" i="24"/>
  <c r="H49" i="15"/>
  <c r="H21" i="23"/>
  <c r="H20" i="24"/>
  <c r="H20" i="15"/>
  <c r="H7" i="24"/>
  <c r="H5" i="22"/>
  <c r="H2" i="20"/>
  <c r="H2" i="19"/>
  <c r="H7" i="15"/>
  <c r="H30" i="23"/>
  <c r="H32" i="24"/>
  <c r="H32" i="15"/>
  <c r="H15" i="26"/>
  <c r="H15" i="25"/>
  <c r="H48" i="24"/>
  <c r="H40" i="23"/>
  <c r="H48" i="15"/>
  <c r="H57" i="24"/>
  <c r="H57" i="15"/>
  <c r="H53" i="24"/>
  <c r="H41" i="23"/>
  <c r="H53" i="15"/>
  <c r="H30" i="24"/>
  <c r="H30" i="15"/>
  <c r="H19" i="23"/>
  <c r="H21" i="22"/>
  <c r="H10" i="19"/>
  <c r="H13" i="18"/>
  <c r="H34" i="24"/>
  <c r="H34" i="15"/>
  <c r="H9" i="28"/>
  <c r="H14" i="18"/>
  <c r="H35" i="24"/>
  <c r="H9" i="17"/>
  <c r="H35" i="15"/>
  <c r="H3" i="26"/>
  <c r="H3" i="25"/>
  <c r="H9" i="24"/>
  <c r="H6" i="22"/>
  <c r="H6" i="23"/>
  <c r="H4" i="18"/>
  <c r="H3" i="19"/>
  <c r="H9" i="15"/>
  <c r="H4" i="14"/>
  <c r="H50" i="24"/>
  <c r="H23" i="18"/>
  <c r="H14" i="17"/>
  <c r="H50" i="15"/>
  <c r="H45" i="24"/>
  <c r="H45" i="15"/>
  <c r="H4" i="26"/>
  <c r="H4" i="25"/>
  <c r="H10" i="24"/>
  <c r="H8" i="23"/>
  <c r="H7" i="22"/>
  <c r="H5" i="18"/>
  <c r="H4" i="19"/>
  <c r="H10" i="15"/>
  <c r="H5" i="14"/>
  <c r="H47" i="24"/>
  <c r="H47" i="15"/>
  <c r="H33" i="22"/>
  <c r="H22" i="14"/>
  <c r="H19" i="24"/>
  <c r="H20" i="23"/>
  <c r="H19" i="15"/>
  <c r="H34" i="22"/>
  <c r="H10" i="17"/>
  <c r="H13" i="24"/>
  <c r="H13" i="15"/>
  <c r="H42" i="24"/>
  <c r="H42" i="15"/>
  <c r="H4" i="28"/>
  <c r="H10" i="23"/>
  <c r="H7" i="18"/>
  <c r="H38" i="24"/>
  <c r="H38" i="15"/>
  <c r="H14" i="28"/>
  <c r="H16" i="26"/>
  <c r="H39" i="24"/>
  <c r="H16" i="25"/>
  <c r="H39" i="15"/>
  <c r="H22" i="24"/>
  <c r="H11" i="18"/>
  <c r="H5" i="17"/>
  <c r="H22" i="15"/>
  <c r="H40" i="24"/>
  <c r="H40" i="15"/>
  <c r="H2" i="22"/>
  <c r="H3" i="14"/>
  <c r="H10" i="28"/>
  <c r="H11" i="26"/>
  <c r="H11" i="25"/>
  <c r="H9" i="26"/>
  <c r="H8" i="28"/>
  <c r="H9" i="25"/>
  <c r="H26" i="24"/>
  <c r="H18" i="22"/>
  <c r="H12" i="14"/>
  <c r="H26" i="15"/>
  <c r="H10" i="26"/>
  <c r="H27" i="24"/>
  <c r="H10" i="25"/>
  <c r="H20" i="22"/>
  <c r="H13" i="14"/>
  <c r="H27" i="15"/>
  <c r="H8" i="20"/>
  <c r="H14" i="19"/>
  <c r="H18" i="23"/>
  <c r="H19" i="22"/>
  <c r="H9" i="19"/>
  <c r="H12" i="18"/>
  <c r="H3" i="23"/>
  <c r="H3" i="18"/>
  <c r="H4" i="22"/>
  <c r="H29" i="23"/>
  <c r="H29" i="24"/>
  <c r="H29" i="15"/>
  <c r="H37" i="24"/>
  <c r="H37" i="15"/>
  <c r="H20" i="25"/>
  <c r="H20" i="26"/>
  <c r="H18" i="28"/>
  <c r="H25" i="22"/>
  <c r="H17" i="14"/>
  <c r="H31" i="24"/>
  <c r="H5" i="20"/>
  <c r="H11" i="19"/>
  <c r="H31" i="15"/>
  <c r="H15" i="24"/>
  <c r="H12" i="23"/>
  <c r="H15" i="15"/>
  <c r="H2" i="23"/>
  <c r="H3" i="22"/>
  <c r="H2" i="18"/>
  <c r="H2" i="17"/>
  <c r="H13" i="23"/>
  <c r="H16" i="24"/>
  <c r="H16" i="15"/>
  <c r="H39" i="23"/>
  <c r="H22" i="18"/>
  <c r="H44" i="24"/>
  <c r="H44" i="15"/>
  <c r="H35" i="22"/>
  <c r="H19" i="18"/>
  <c r="H5" i="26"/>
  <c r="H5" i="28"/>
  <c r="H5" i="25"/>
  <c r="H14" i="24"/>
  <c r="H14" i="15"/>
  <c r="H36" i="24"/>
  <c r="H36" i="15"/>
  <c r="H17" i="23"/>
  <c r="H10" i="18"/>
  <c r="H21" i="24"/>
  <c r="H21" i="15"/>
  <c r="H52" i="24"/>
  <c r="H52" i="15"/>
  <c r="H7" i="26"/>
  <c r="H7" i="25"/>
  <c r="H15" i="23"/>
  <c r="H18" i="24"/>
  <c r="H13" i="22"/>
  <c r="H7" i="19"/>
  <c r="H9" i="18"/>
  <c r="H18" i="15"/>
  <c r="H9" i="14"/>
  <c r="H12" i="24"/>
  <c r="H3" i="20"/>
  <c r="H5" i="19"/>
  <c r="H12" i="15"/>
  <c r="H56" i="24"/>
  <c r="H56" i="15"/>
  <c r="H20" i="18"/>
  <c r="H11" i="17"/>
  <c r="H7" i="28"/>
  <c r="H8" i="26"/>
  <c r="H8" i="25"/>
  <c r="H14" i="22"/>
  <c r="H11" i="14"/>
  <c r="H6" i="20"/>
  <c r="H12" i="19"/>
  <c r="H23" i="22"/>
  <c r="H24" i="23"/>
  <c r="H46" i="24"/>
  <c r="H38" i="23"/>
  <c r="H46" i="15"/>
  <c r="H51" i="24"/>
  <c r="H51" i="15"/>
  <c r="H6" i="26"/>
  <c r="H6" i="25"/>
  <c r="H17" i="24"/>
  <c r="H14" i="23"/>
  <c r="H12" i="22"/>
  <c r="H17" i="15"/>
  <c r="H8" i="18"/>
  <c r="H6" i="19"/>
  <c r="H8" i="14"/>
  <c r="Q88" i="2"/>
  <c r="P88" i="2"/>
  <c r="M88" i="2"/>
  <c r="R88" i="2"/>
  <c r="N88" i="2"/>
  <c r="L88" i="2"/>
  <c r="O88" i="2"/>
  <c r="H11" i="24"/>
  <c r="H11" i="15"/>
  <c r="H8" i="22"/>
  <c r="H7" i="14"/>
  <c r="H10" i="20"/>
  <c r="H16" i="19"/>
  <c r="H24" i="22"/>
  <c r="H16" i="14"/>
  <c r="H2" i="24"/>
  <c r="H5" i="23"/>
  <c r="H2" i="15"/>
  <c r="H5" i="24"/>
  <c r="H7" i="23"/>
  <c r="H5" i="15"/>
  <c r="H6" i="24"/>
  <c r="H9" i="23"/>
  <c r="H6" i="15"/>
  <c r="H55" i="24"/>
  <c r="H43" i="23"/>
  <c r="H18" i="19"/>
  <c r="H43" i="22"/>
  <c r="H25" i="18"/>
  <c r="H55" i="15"/>
  <c r="H27" i="14"/>
  <c r="H26" i="23"/>
  <c r="H6" i="17"/>
  <c r="H21" i="25"/>
  <c r="H21" i="26"/>
  <c r="H6" i="28"/>
  <c r="H16" i="22"/>
  <c r="H27" i="23"/>
  <c r="H28" i="24"/>
  <c r="H28" i="15"/>
  <c r="H22" i="25"/>
  <c r="H22" i="26"/>
  <c r="H17" i="22"/>
  <c r="H4" i="20"/>
  <c r="H8" i="19"/>
  <c r="H23" i="24"/>
  <c r="H23" i="15"/>
  <c r="H17" i="26"/>
  <c r="H17" i="25"/>
  <c r="H22" i="22"/>
  <c r="H15" i="14"/>
  <c r="H24" i="14"/>
  <c r="H25" i="14"/>
  <c r="H24" i="24"/>
  <c r="H22" i="23"/>
  <c r="H24" i="15"/>
  <c r="H12" i="26"/>
  <c r="H12" i="25"/>
  <c r="H25" i="24"/>
  <c r="H23" i="23"/>
  <c r="H25" i="15"/>
  <c r="H13" i="26"/>
  <c r="H13" i="25"/>
  <c r="H54" i="24"/>
  <c r="H42" i="23"/>
  <c r="H17" i="19"/>
  <c r="H42" i="22"/>
  <c r="H54" i="15"/>
  <c r="H24" i="18"/>
  <c r="H26" i="14"/>
  <c r="H14" i="26"/>
  <c r="H14" i="25"/>
  <c r="H16" i="23"/>
  <c r="H15" i="22"/>
  <c r="H4" i="17"/>
  <c r="H34" i="23"/>
  <c r="H7" i="20"/>
  <c r="H30" i="22"/>
  <c r="H8" i="17"/>
  <c r="H36" i="23"/>
  <c r="H41" i="24"/>
  <c r="H41" i="15"/>
  <c r="I14" i="26" l="1"/>
  <c r="J14" i="26"/>
  <c r="I13" i="26"/>
  <c r="J13" i="26"/>
  <c r="J12" i="25"/>
  <c r="I12" i="25"/>
  <c r="I24" i="24"/>
  <c r="J24" i="24"/>
  <c r="I23" i="24"/>
  <c r="J23" i="24"/>
  <c r="I22" i="26"/>
  <c r="J22" i="26"/>
  <c r="J27" i="23"/>
  <c r="I27" i="23"/>
  <c r="J21" i="25"/>
  <c r="I21" i="25"/>
  <c r="J55" i="15"/>
  <c r="I55" i="15"/>
  <c r="I43" i="23"/>
  <c r="J43" i="23"/>
  <c r="J6" i="24"/>
  <c r="I6" i="24"/>
  <c r="J2" i="15"/>
  <c r="I2" i="15"/>
  <c r="I17" i="24"/>
  <c r="J17" i="24"/>
  <c r="J51" i="24"/>
  <c r="I51" i="24"/>
  <c r="J24" i="23"/>
  <c r="I24" i="23"/>
  <c r="J7" i="28"/>
  <c r="I7" i="28"/>
  <c r="J56" i="24"/>
  <c r="I56" i="24"/>
  <c r="I12" i="24"/>
  <c r="J12" i="24"/>
  <c r="I7" i="19"/>
  <c r="J7" i="19"/>
  <c r="J7" i="25"/>
  <c r="I7" i="25"/>
  <c r="J21" i="15"/>
  <c r="I21" i="15"/>
  <c r="J36" i="15"/>
  <c r="I36" i="15"/>
  <c r="I5" i="25"/>
  <c r="J5" i="25"/>
  <c r="J39" i="23"/>
  <c r="I39" i="23"/>
  <c r="J15" i="15"/>
  <c r="I15" i="15"/>
  <c r="J11" i="19"/>
  <c r="I11" i="19"/>
  <c r="J37" i="15"/>
  <c r="I37" i="15"/>
  <c r="I29" i="23"/>
  <c r="J29" i="23"/>
  <c r="J14" i="19"/>
  <c r="I14" i="19"/>
  <c r="J26" i="15"/>
  <c r="I26" i="15"/>
  <c r="I9" i="25"/>
  <c r="J9" i="25"/>
  <c r="I11" i="26"/>
  <c r="J11" i="26"/>
  <c r="J40" i="15"/>
  <c r="I40" i="15"/>
  <c r="J39" i="24"/>
  <c r="I39" i="24"/>
  <c r="J38" i="24"/>
  <c r="I38" i="24"/>
  <c r="J42" i="15"/>
  <c r="I42" i="15"/>
  <c r="J19" i="24"/>
  <c r="I19" i="24"/>
  <c r="I47" i="24"/>
  <c r="J47" i="24"/>
  <c r="I4" i="25"/>
  <c r="J4" i="25"/>
  <c r="J50" i="15"/>
  <c r="I50" i="15"/>
  <c r="J6" i="23"/>
  <c r="I6" i="23"/>
  <c r="I3" i="26"/>
  <c r="J3" i="26"/>
  <c r="J30" i="15"/>
  <c r="I30" i="15"/>
  <c r="J53" i="24"/>
  <c r="I53" i="24"/>
  <c r="J40" i="23"/>
  <c r="I40" i="23"/>
  <c r="J32" i="15"/>
  <c r="I32" i="15"/>
  <c r="J2" i="19"/>
  <c r="I2" i="19"/>
  <c r="J20" i="15"/>
  <c r="I20" i="15"/>
  <c r="I49" i="24"/>
  <c r="J49" i="24"/>
  <c r="J3" i="28"/>
  <c r="I3" i="28"/>
  <c r="J43" i="15"/>
  <c r="I43" i="15"/>
  <c r="J33" i="15"/>
  <c r="I33" i="15"/>
  <c r="J41" i="15"/>
  <c r="I41" i="15"/>
  <c r="J17" i="19"/>
  <c r="I17" i="19"/>
  <c r="J41" i="24"/>
  <c r="I41" i="24"/>
  <c r="I7" i="20"/>
  <c r="J7" i="20"/>
  <c r="I16" i="23"/>
  <c r="J16" i="23"/>
  <c r="I42" i="23"/>
  <c r="J42" i="23"/>
  <c r="J25" i="15"/>
  <c r="I25" i="15"/>
  <c r="J12" i="26"/>
  <c r="I12" i="26"/>
  <c r="I17" i="25"/>
  <c r="J17" i="25"/>
  <c r="J8" i="19"/>
  <c r="I8" i="19"/>
  <c r="I22" i="25"/>
  <c r="J22" i="25"/>
  <c r="J55" i="24"/>
  <c r="I55" i="24"/>
  <c r="J5" i="15"/>
  <c r="I5" i="15"/>
  <c r="J5" i="23"/>
  <c r="I5" i="23"/>
  <c r="J16" i="19"/>
  <c r="I16" i="19"/>
  <c r="J11" i="15"/>
  <c r="I11" i="15"/>
  <c r="J17" i="15"/>
  <c r="I17" i="15"/>
  <c r="I6" i="25"/>
  <c r="J6" i="25"/>
  <c r="J46" i="15"/>
  <c r="I46" i="15"/>
  <c r="J12" i="15"/>
  <c r="I12" i="15"/>
  <c r="I7" i="26"/>
  <c r="J7" i="26"/>
  <c r="J21" i="24"/>
  <c r="I21" i="24"/>
  <c r="J36" i="24"/>
  <c r="I36" i="24"/>
  <c r="I5" i="28"/>
  <c r="J5" i="28"/>
  <c r="J44" i="15"/>
  <c r="I44" i="15"/>
  <c r="J16" i="15"/>
  <c r="I16" i="15"/>
  <c r="J12" i="23"/>
  <c r="I12" i="23"/>
  <c r="J5" i="20"/>
  <c r="I5" i="20"/>
  <c r="I18" i="28"/>
  <c r="J18" i="28"/>
  <c r="J37" i="24"/>
  <c r="I37" i="24"/>
  <c r="J9" i="19"/>
  <c r="I9" i="19"/>
  <c r="J8" i="20"/>
  <c r="I8" i="20"/>
  <c r="I10" i="25"/>
  <c r="J10" i="25"/>
  <c r="J8" i="28"/>
  <c r="I8" i="28"/>
  <c r="J10" i="28"/>
  <c r="I10" i="28"/>
  <c r="J40" i="24"/>
  <c r="I40" i="24"/>
  <c r="I22" i="24"/>
  <c r="J22" i="24"/>
  <c r="I16" i="26"/>
  <c r="J16" i="26"/>
  <c r="J42" i="24"/>
  <c r="I42" i="24"/>
  <c r="J4" i="26"/>
  <c r="I4" i="26"/>
  <c r="J9" i="15"/>
  <c r="I9" i="15"/>
  <c r="J35" i="15"/>
  <c r="I35" i="15"/>
  <c r="J9" i="28"/>
  <c r="I9" i="28"/>
  <c r="J10" i="19"/>
  <c r="I10" i="19"/>
  <c r="I30" i="24"/>
  <c r="J30" i="24"/>
  <c r="I57" i="15"/>
  <c r="R14" i="2" s="1"/>
  <c r="J57" i="15"/>
  <c r="J48" i="24"/>
  <c r="I48" i="24"/>
  <c r="J32" i="24"/>
  <c r="I32" i="24"/>
  <c r="J2" i="20"/>
  <c r="I2" i="20"/>
  <c r="J20" i="24"/>
  <c r="I20" i="24"/>
  <c r="J8" i="15"/>
  <c r="I8" i="15"/>
  <c r="I2" i="26"/>
  <c r="J2" i="26"/>
  <c r="J43" i="24"/>
  <c r="I43" i="24"/>
  <c r="J33" i="24"/>
  <c r="I33" i="24"/>
  <c r="J36" i="23"/>
  <c r="I36" i="23"/>
  <c r="I34" i="23"/>
  <c r="J34" i="23"/>
  <c r="I14" i="25"/>
  <c r="J14" i="25"/>
  <c r="J54" i="15"/>
  <c r="I54" i="15"/>
  <c r="J54" i="24"/>
  <c r="I54" i="24"/>
  <c r="J23" i="23"/>
  <c r="I23" i="23"/>
  <c r="J24" i="15"/>
  <c r="I24" i="15"/>
  <c r="J17" i="26"/>
  <c r="I17" i="26"/>
  <c r="I4" i="20"/>
  <c r="J4" i="20"/>
  <c r="J28" i="15"/>
  <c r="I28" i="15"/>
  <c r="J6" i="28"/>
  <c r="I6" i="28"/>
  <c r="I26" i="23"/>
  <c r="J26" i="23"/>
  <c r="J6" i="15"/>
  <c r="I6" i="15"/>
  <c r="J7" i="23"/>
  <c r="I7" i="23"/>
  <c r="I2" i="24"/>
  <c r="J2" i="24"/>
  <c r="J10" i="20"/>
  <c r="I10" i="20"/>
  <c r="I11" i="24"/>
  <c r="J11" i="24"/>
  <c r="J6" i="26"/>
  <c r="I6" i="26"/>
  <c r="J38" i="23"/>
  <c r="I38" i="23"/>
  <c r="J12" i="19"/>
  <c r="I12" i="19"/>
  <c r="I8" i="25"/>
  <c r="J8" i="25"/>
  <c r="J5" i="19"/>
  <c r="I5" i="19"/>
  <c r="J18" i="15"/>
  <c r="I18" i="15"/>
  <c r="J18" i="24"/>
  <c r="I18" i="24"/>
  <c r="J52" i="15"/>
  <c r="I52" i="15"/>
  <c r="J14" i="15"/>
  <c r="I14" i="15"/>
  <c r="I5" i="26"/>
  <c r="J5" i="26"/>
  <c r="J44" i="24"/>
  <c r="I44" i="24"/>
  <c r="K22" i="2" s="1"/>
  <c r="J16" i="24"/>
  <c r="I16" i="24"/>
  <c r="J15" i="24"/>
  <c r="I15" i="24"/>
  <c r="I31" i="24"/>
  <c r="J31" i="24"/>
  <c r="I20" i="26"/>
  <c r="J20" i="26"/>
  <c r="J29" i="15"/>
  <c r="I29" i="15"/>
  <c r="J27" i="15"/>
  <c r="I27" i="15"/>
  <c r="J27" i="24"/>
  <c r="I27" i="24"/>
  <c r="J9" i="26"/>
  <c r="I9" i="26"/>
  <c r="J22" i="15"/>
  <c r="I22" i="15"/>
  <c r="J39" i="15"/>
  <c r="I39" i="15"/>
  <c r="I14" i="28"/>
  <c r="J14" i="28"/>
  <c r="J10" i="23"/>
  <c r="I10" i="23"/>
  <c r="J13" i="15"/>
  <c r="I13" i="15"/>
  <c r="J19" i="15"/>
  <c r="I19" i="15"/>
  <c r="J10" i="15"/>
  <c r="I10" i="15"/>
  <c r="I8" i="23"/>
  <c r="J8" i="23"/>
  <c r="J45" i="15"/>
  <c r="I45" i="15"/>
  <c r="I3" i="19"/>
  <c r="J3" i="19"/>
  <c r="J9" i="24"/>
  <c r="I9" i="24"/>
  <c r="J34" i="15"/>
  <c r="I34" i="15"/>
  <c r="J53" i="15"/>
  <c r="I53" i="15"/>
  <c r="I57" i="24"/>
  <c r="R22" i="2" s="1"/>
  <c r="J57" i="24"/>
  <c r="I15" i="25"/>
  <c r="J15" i="25"/>
  <c r="J30" i="23"/>
  <c r="I30" i="23"/>
  <c r="I21" i="23"/>
  <c r="J21" i="23"/>
  <c r="J8" i="24"/>
  <c r="I8" i="24"/>
  <c r="J4" i="15"/>
  <c r="I4" i="15"/>
  <c r="J3" i="15"/>
  <c r="I3" i="15"/>
  <c r="J32" i="23"/>
  <c r="I32" i="23"/>
  <c r="J13" i="25"/>
  <c r="I13" i="25"/>
  <c r="I25" i="24"/>
  <c r="J25" i="24"/>
  <c r="J22" i="23"/>
  <c r="I22" i="23"/>
  <c r="J23" i="15"/>
  <c r="I23" i="15"/>
  <c r="I28" i="24"/>
  <c r="J28" i="24"/>
  <c r="I21" i="26"/>
  <c r="J21" i="26"/>
  <c r="J18" i="19"/>
  <c r="I18" i="19"/>
  <c r="J9" i="23"/>
  <c r="I9" i="23"/>
  <c r="I5" i="24"/>
  <c r="J5" i="24"/>
  <c r="I6" i="19"/>
  <c r="J6" i="19"/>
  <c r="I14" i="23"/>
  <c r="J14" i="23"/>
  <c r="J51" i="15"/>
  <c r="I51" i="15"/>
  <c r="I46" i="24"/>
  <c r="J46" i="24"/>
  <c r="I6" i="20"/>
  <c r="J6" i="20"/>
  <c r="I8" i="26"/>
  <c r="J8" i="26"/>
  <c r="J56" i="15"/>
  <c r="I56" i="15"/>
  <c r="I3" i="20"/>
  <c r="J3" i="20"/>
  <c r="J15" i="23"/>
  <c r="I15" i="23"/>
  <c r="I52" i="24"/>
  <c r="J52" i="24"/>
  <c r="J17" i="23"/>
  <c r="I17" i="23"/>
  <c r="J14" i="24"/>
  <c r="I14" i="24"/>
  <c r="J13" i="23"/>
  <c r="I13" i="23"/>
  <c r="J2" i="23"/>
  <c r="I2" i="23"/>
  <c r="J31" i="15"/>
  <c r="I31" i="15"/>
  <c r="I20" i="25"/>
  <c r="J20" i="25"/>
  <c r="I29" i="24"/>
  <c r="J29" i="24"/>
  <c r="I3" i="23"/>
  <c r="J3" i="23"/>
  <c r="J18" i="23"/>
  <c r="I18" i="23"/>
  <c r="I10" i="26"/>
  <c r="J10" i="26"/>
  <c r="J26" i="24"/>
  <c r="I26" i="24"/>
  <c r="I11" i="25"/>
  <c r="J11" i="25"/>
  <c r="J16" i="25"/>
  <c r="I16" i="25"/>
  <c r="J38" i="15"/>
  <c r="I38" i="15"/>
  <c r="J4" i="28"/>
  <c r="I4" i="28"/>
  <c r="I13" i="24"/>
  <c r="J13" i="24"/>
  <c r="J20" i="23"/>
  <c r="I20" i="23"/>
  <c r="J47" i="15"/>
  <c r="I47" i="15"/>
  <c r="I4" i="19"/>
  <c r="J4" i="19"/>
  <c r="J10" i="24"/>
  <c r="I10" i="24"/>
  <c r="J45" i="24"/>
  <c r="I45" i="24"/>
  <c r="J50" i="24"/>
  <c r="I50" i="24"/>
  <c r="J3" i="25"/>
  <c r="I3" i="25"/>
  <c r="J35" i="24"/>
  <c r="I35" i="24"/>
  <c r="I34" i="24"/>
  <c r="J34" i="24"/>
  <c r="J19" i="23"/>
  <c r="I19" i="23"/>
  <c r="J41" i="23"/>
  <c r="I41" i="23"/>
  <c r="J48" i="15"/>
  <c r="I48" i="15"/>
  <c r="I15" i="26"/>
  <c r="J15" i="26"/>
  <c r="J7" i="15"/>
  <c r="I7" i="15"/>
  <c r="J7" i="24"/>
  <c r="I7" i="24"/>
  <c r="J49" i="15"/>
  <c r="I49" i="15"/>
  <c r="I2" i="25"/>
  <c r="J2" i="25"/>
  <c r="J4" i="24"/>
  <c r="I4" i="24"/>
  <c r="J3" i="24"/>
  <c r="I3" i="24"/>
  <c r="P86" i="2"/>
  <c r="Q86" i="2"/>
  <c r="O86" i="2"/>
  <c r="M86" i="2"/>
  <c r="R86" i="2"/>
  <c r="N86" i="2"/>
  <c r="L86" i="2"/>
  <c r="P63" i="2"/>
  <c r="M63" i="2"/>
  <c r="O63" i="2"/>
  <c r="L63" i="2"/>
  <c r="Q63" i="2"/>
  <c r="N63" i="2"/>
  <c r="J43" i="22"/>
  <c r="I43" i="22"/>
  <c r="I8" i="14"/>
  <c r="J8" i="14"/>
  <c r="I12" i="22"/>
  <c r="J12" i="22"/>
  <c r="I19" i="22"/>
  <c r="J19" i="22"/>
  <c r="J23" i="18"/>
  <c r="I23" i="18"/>
  <c r="I21" i="22"/>
  <c r="J21" i="22"/>
  <c r="I8" i="17"/>
  <c r="J8" i="17"/>
  <c r="I4" i="17"/>
  <c r="J4" i="17"/>
  <c r="I42" i="22"/>
  <c r="J42" i="22"/>
  <c r="I15" i="14"/>
  <c r="J15" i="14"/>
  <c r="I17" i="22"/>
  <c r="J17" i="22"/>
  <c r="J27" i="14"/>
  <c r="I27" i="14"/>
  <c r="I16" i="14"/>
  <c r="J16" i="14"/>
  <c r="I7" i="14"/>
  <c r="J7" i="14"/>
  <c r="J9" i="18"/>
  <c r="I9" i="18"/>
  <c r="J19" i="18"/>
  <c r="I19" i="18"/>
  <c r="J22" i="18"/>
  <c r="I22" i="18"/>
  <c r="I17" i="14"/>
  <c r="J17" i="14"/>
  <c r="J13" i="14"/>
  <c r="I13" i="14"/>
  <c r="I2" i="22"/>
  <c r="J2" i="22"/>
  <c r="J5" i="17"/>
  <c r="I5" i="17"/>
  <c r="J4" i="18"/>
  <c r="I4" i="18"/>
  <c r="J3" i="17"/>
  <c r="I3" i="17"/>
  <c r="I24" i="14"/>
  <c r="J24" i="14"/>
  <c r="J20" i="18"/>
  <c r="I20" i="18"/>
  <c r="I3" i="22"/>
  <c r="J3" i="22"/>
  <c r="J18" i="22"/>
  <c r="I18" i="22"/>
  <c r="I33" i="22"/>
  <c r="J33" i="22"/>
  <c r="J9" i="17"/>
  <c r="I9" i="17"/>
  <c r="J5" i="22"/>
  <c r="I5" i="22"/>
  <c r="J30" i="22"/>
  <c r="I30" i="22"/>
  <c r="J15" i="22"/>
  <c r="I15" i="22"/>
  <c r="I26" i="14"/>
  <c r="J26" i="14"/>
  <c r="J22" i="22"/>
  <c r="I22" i="22"/>
  <c r="J24" i="22"/>
  <c r="I24" i="22"/>
  <c r="J8" i="22"/>
  <c r="I8" i="22"/>
  <c r="I8" i="18"/>
  <c r="J8" i="18"/>
  <c r="J11" i="14"/>
  <c r="I11" i="14"/>
  <c r="I35" i="22"/>
  <c r="J35" i="22"/>
  <c r="I2" i="17"/>
  <c r="J2" i="17"/>
  <c r="J25" i="22"/>
  <c r="I25" i="22"/>
  <c r="J12" i="18"/>
  <c r="I12" i="18"/>
  <c r="I20" i="22"/>
  <c r="J20" i="22"/>
  <c r="J11" i="18"/>
  <c r="I11" i="18"/>
  <c r="I10" i="17"/>
  <c r="J10" i="17"/>
  <c r="J5" i="18"/>
  <c r="I5" i="18"/>
  <c r="J4" i="14"/>
  <c r="I4" i="14"/>
  <c r="I14" i="18"/>
  <c r="J14" i="18"/>
  <c r="I13" i="18"/>
  <c r="J13" i="18"/>
  <c r="J6" i="18"/>
  <c r="I6" i="18"/>
  <c r="I10" i="18"/>
  <c r="J10" i="18"/>
  <c r="I3" i="18"/>
  <c r="J3" i="18"/>
  <c r="I3" i="14"/>
  <c r="J3" i="14"/>
  <c r="I24" i="18"/>
  <c r="J24" i="18"/>
  <c r="I25" i="14"/>
  <c r="J25" i="14"/>
  <c r="J16" i="22"/>
  <c r="I16" i="22"/>
  <c r="I6" i="17"/>
  <c r="J6" i="17"/>
  <c r="I25" i="18"/>
  <c r="J25" i="18"/>
  <c r="J23" i="22"/>
  <c r="I23" i="22"/>
  <c r="I14" i="22"/>
  <c r="J14" i="22"/>
  <c r="J11" i="17"/>
  <c r="I11" i="17"/>
  <c r="I9" i="14"/>
  <c r="J9" i="14"/>
  <c r="J13" i="22"/>
  <c r="I13" i="22"/>
  <c r="I2" i="18"/>
  <c r="J2" i="18"/>
  <c r="I4" i="22"/>
  <c r="J4" i="22"/>
  <c r="J12" i="14"/>
  <c r="I12" i="14"/>
  <c r="J7" i="18"/>
  <c r="I7" i="18"/>
  <c r="J34" i="22"/>
  <c r="I34" i="22"/>
  <c r="I22" i="14"/>
  <c r="J22" i="14"/>
  <c r="I5" i="14"/>
  <c r="J5" i="14"/>
  <c r="J7" i="22"/>
  <c r="I7" i="22"/>
  <c r="I14" i="17"/>
  <c r="J14" i="17"/>
  <c r="J6" i="22"/>
  <c r="I6" i="22"/>
  <c r="J9" i="22"/>
  <c r="I9" i="22"/>
  <c r="R53" i="2"/>
  <c r="L53" i="2"/>
  <c r="M53" i="2"/>
  <c r="O53" i="2"/>
  <c r="Q53" i="2"/>
  <c r="P53" i="2"/>
  <c r="O87" i="2"/>
  <c r="Q24" i="2"/>
  <c r="AS24" i="2" s="1"/>
  <c r="L70" i="2"/>
  <c r="R70" i="2"/>
  <c r="P70" i="2"/>
  <c r="Q70" i="2"/>
  <c r="O70" i="2"/>
  <c r="M70" i="2"/>
  <c r="N70" i="2"/>
  <c r="R18" i="2"/>
  <c r="AL18" i="2" s="1"/>
  <c r="Q25" i="2"/>
  <c r="AG25" i="2" s="1"/>
  <c r="M13" i="2"/>
  <c r="M14" i="2"/>
  <c r="N14" i="2" s="1"/>
  <c r="BC14" i="2"/>
  <c r="AU29" i="2"/>
  <c r="M20" i="2"/>
  <c r="N20" i="2" s="1"/>
  <c r="AQ20" i="2" s="1"/>
  <c r="BC20" i="2"/>
  <c r="M24" i="2"/>
  <c r="N24" i="2" s="1"/>
  <c r="AM24" i="2" s="1"/>
  <c r="BC24" i="2"/>
  <c r="BC13" i="2"/>
  <c r="K14" i="2"/>
  <c r="M21" i="2"/>
  <c r="N21" i="2" s="1"/>
  <c r="AQ21" i="2" s="1"/>
  <c r="BC21" i="2"/>
  <c r="BC18" i="2"/>
  <c r="M18" i="2"/>
  <c r="N18" i="2" s="1"/>
  <c r="AQ18" i="2" s="1"/>
  <c r="Q28" i="2"/>
  <c r="AU27" i="2"/>
  <c r="R28" i="2"/>
  <c r="Q87" i="2"/>
  <c r="M87" i="2"/>
  <c r="R87" i="2"/>
  <c r="AG16" i="2"/>
  <c r="AS16" i="2"/>
  <c r="U16" i="2"/>
  <c r="AK16" i="2"/>
  <c r="Y16" i="2"/>
  <c r="AO16" i="2"/>
  <c r="AC16" i="2"/>
  <c r="BC28" i="2"/>
  <c r="M28" i="2"/>
  <c r="N28" i="2" s="1"/>
  <c r="AI28" i="2" s="1"/>
  <c r="M19" i="2"/>
  <c r="N19" i="2" s="1"/>
  <c r="AE19" i="2" s="1"/>
  <c r="BC19" i="2"/>
  <c r="M25" i="2"/>
  <c r="N25" i="2" s="1"/>
  <c r="AQ25" i="2" s="1"/>
  <c r="BC25" i="2"/>
  <c r="AO27" i="2"/>
  <c r="U27" i="2"/>
  <c r="AC27" i="2"/>
  <c r="Y27" i="2"/>
  <c r="AS27" i="2"/>
  <c r="AK27" i="2"/>
  <c r="AG27" i="2"/>
  <c r="R27" i="2"/>
  <c r="N87" i="2"/>
  <c r="L87" i="2"/>
  <c r="L59" i="2"/>
  <c r="O59" i="2"/>
  <c r="P59" i="2"/>
  <c r="N59" i="2"/>
  <c r="M59" i="2"/>
  <c r="Q59" i="2"/>
  <c r="BC22" i="2"/>
  <c r="M22" i="2"/>
  <c r="N22" i="2" s="1"/>
  <c r="BC16" i="2"/>
  <c r="M16" i="2"/>
  <c r="N16" i="2" s="1"/>
  <c r="AA16" i="2" s="1"/>
  <c r="R29" i="2"/>
  <c r="R59" i="2"/>
  <c r="A45" i="2"/>
  <c r="K45" i="2" s="1"/>
  <c r="K95" i="2" s="1"/>
  <c r="P43" i="2"/>
  <c r="Q43" i="2"/>
  <c r="O43" i="2"/>
  <c r="L43" i="2"/>
  <c r="N43" i="2"/>
  <c r="R43" i="2"/>
  <c r="M43" i="2"/>
  <c r="N79" i="2"/>
  <c r="M79" i="2"/>
  <c r="R79" i="2"/>
  <c r="P79" i="2"/>
  <c r="O79" i="2"/>
  <c r="Q79" i="2"/>
  <c r="L79" i="2"/>
  <c r="Y24" i="2" l="1"/>
  <c r="Q30" i="2"/>
  <c r="K30" i="2"/>
  <c r="R30" i="2"/>
  <c r="N13" i="2"/>
  <c r="AQ13" i="2" s="1"/>
  <c r="AG24" i="2"/>
  <c r="AO24" i="2"/>
  <c r="AC24" i="2"/>
  <c r="U24" i="2"/>
  <c r="AK24" i="2"/>
  <c r="V18" i="2"/>
  <c r="AH18" i="2"/>
  <c r="AP18" i="2"/>
  <c r="AT18" i="2"/>
  <c r="Z18" i="2"/>
  <c r="AD18" i="2"/>
  <c r="AO25" i="2"/>
  <c r="U25" i="2"/>
  <c r="AK25" i="2"/>
  <c r="Y25" i="2"/>
  <c r="AC25" i="2"/>
  <c r="AS25" i="2"/>
  <c r="AQ28" i="2"/>
  <c r="BC15" i="2"/>
  <c r="BJ15" i="2" s="1"/>
  <c r="AE21" i="2"/>
  <c r="AI21" i="2"/>
  <c r="W21" i="2"/>
  <c r="AM21" i="2"/>
  <c r="S21" i="2"/>
  <c r="AA21" i="2"/>
  <c r="W28" i="2"/>
  <c r="AA28" i="2"/>
  <c r="AE28" i="2"/>
  <c r="L13" i="2"/>
  <c r="AU13" i="2"/>
  <c r="AE20" i="2"/>
  <c r="L28" i="2"/>
  <c r="AF28" i="2" s="1"/>
  <c r="AI20" i="2"/>
  <c r="AM28" i="2"/>
  <c r="AA24" i="2"/>
  <c r="AI24" i="2"/>
  <c r="W24" i="2"/>
  <c r="S24" i="2"/>
  <c r="AQ24" i="2"/>
  <c r="AE24" i="2"/>
  <c r="S28" i="2"/>
  <c r="S20" i="2"/>
  <c r="AM20" i="2"/>
  <c r="AU21" i="2"/>
  <c r="AW21" i="2" s="1"/>
  <c r="W20" i="2"/>
  <c r="AU22" i="2"/>
  <c r="AU25" i="2"/>
  <c r="AU28" i="2"/>
  <c r="L22" i="2"/>
  <c r="L20" i="2"/>
  <c r="AH29" i="2"/>
  <c r="AT29" i="2"/>
  <c r="V29" i="2"/>
  <c r="AL29" i="2"/>
  <c r="Z29" i="2"/>
  <c r="AP29" i="2"/>
  <c r="AD29" i="2"/>
  <c r="AU16" i="2"/>
  <c r="AU14" i="2"/>
  <c r="AU19" i="2"/>
  <c r="BH18" i="2"/>
  <c r="BJ18" i="2"/>
  <c r="BG18" i="2"/>
  <c r="BD18" i="2"/>
  <c r="BI18" i="2"/>
  <c r="BE18" i="2"/>
  <c r="BF18" i="2"/>
  <c r="AQ14" i="2"/>
  <c r="AE14" i="2"/>
  <c r="S14" i="2"/>
  <c r="AI14" i="2"/>
  <c r="W14" i="2"/>
  <c r="AM14" i="2"/>
  <c r="AA14" i="2"/>
  <c r="W16" i="2"/>
  <c r="AE16" i="2"/>
  <c r="AI19" i="2"/>
  <c r="AA19" i="2"/>
  <c r="S18" i="2"/>
  <c r="S25" i="2"/>
  <c r="BI14" i="2"/>
  <c r="BE14" i="2"/>
  <c r="BH14" i="2"/>
  <c r="BD14" i="2"/>
  <c r="BG14" i="2"/>
  <c r="BJ14" i="2"/>
  <c r="BF14" i="2"/>
  <c r="L24" i="2"/>
  <c r="L19" i="2"/>
  <c r="V27" i="2"/>
  <c r="AL27" i="2"/>
  <c r="Z27" i="2"/>
  <c r="AP27" i="2"/>
  <c r="AT27" i="2"/>
  <c r="AD27" i="2"/>
  <c r="AH27" i="2"/>
  <c r="BJ25" i="2"/>
  <c r="BF25" i="2"/>
  <c r="BH25" i="2"/>
  <c r="BD25" i="2"/>
  <c r="BG25" i="2"/>
  <c r="BE25" i="2"/>
  <c r="BI25" i="2"/>
  <c r="BI19" i="2"/>
  <c r="BE19" i="2"/>
  <c r="BH19" i="2"/>
  <c r="BD19" i="2"/>
  <c r="BG19" i="2"/>
  <c r="BJ19" i="2"/>
  <c r="BF19" i="2"/>
  <c r="L15" i="2"/>
  <c r="M15" i="2"/>
  <c r="N15" i="2" s="1"/>
  <c r="Z28" i="2"/>
  <c r="AP28" i="2"/>
  <c r="AD28" i="2"/>
  <c r="AH28" i="2"/>
  <c r="AT28" i="2"/>
  <c r="V28" i="2"/>
  <c r="AL28" i="2"/>
  <c r="L18" i="2"/>
  <c r="BI21" i="2"/>
  <c r="BE21" i="2"/>
  <c r="BH21" i="2"/>
  <c r="BD21" i="2"/>
  <c r="BG21" i="2"/>
  <c r="BJ21" i="2"/>
  <c r="BF21" i="2"/>
  <c r="AI16" i="2"/>
  <c r="AQ16" i="2"/>
  <c r="S19" i="2"/>
  <c r="AQ19" i="2"/>
  <c r="AA18" i="2"/>
  <c r="AI18" i="2"/>
  <c r="W25" i="2"/>
  <c r="AA25" i="2"/>
  <c r="BJ24" i="2"/>
  <c r="BF24" i="2"/>
  <c r="BI24" i="2"/>
  <c r="BD24" i="2"/>
  <c r="BH24" i="2"/>
  <c r="BG24" i="2"/>
  <c r="BE24" i="2"/>
  <c r="AU24" i="2"/>
  <c r="AL22" i="2"/>
  <c r="V22" i="2"/>
  <c r="AH22" i="2"/>
  <c r="AT22" i="2"/>
  <c r="AD22" i="2"/>
  <c r="AP22" i="2"/>
  <c r="Z22" i="2"/>
  <c r="BH16" i="2"/>
  <c r="BD16" i="2"/>
  <c r="BG16" i="2"/>
  <c r="BJ16" i="2"/>
  <c r="BF16" i="2"/>
  <c r="BI16" i="2"/>
  <c r="BE16" i="2"/>
  <c r="BJ22" i="2"/>
  <c r="BF22" i="2"/>
  <c r="BH22" i="2"/>
  <c r="BG22" i="2"/>
  <c r="BE22" i="2"/>
  <c r="BI22" i="2"/>
  <c r="BD22" i="2"/>
  <c r="Z14" i="2"/>
  <c r="AP14" i="2"/>
  <c r="AD14" i="2"/>
  <c r="AT14" i="2"/>
  <c r="AH14" i="2"/>
  <c r="V14" i="2"/>
  <c r="AL14" i="2"/>
  <c r="BJ28" i="2"/>
  <c r="BF28" i="2"/>
  <c r="BI28" i="2"/>
  <c r="BE28" i="2"/>
  <c r="BH28" i="2"/>
  <c r="BD28" i="2"/>
  <c r="BG28" i="2"/>
  <c r="AU15" i="2"/>
  <c r="BB27" i="2"/>
  <c r="AX27" i="2"/>
  <c r="AZ27" i="2"/>
  <c r="AV27" i="2"/>
  <c r="AY27" i="2"/>
  <c r="BA27" i="2"/>
  <c r="AW27" i="2"/>
  <c r="AU18" i="2"/>
  <c r="S16" i="2"/>
  <c r="BJ13" i="2"/>
  <c r="BD13" i="2"/>
  <c r="BH13" i="2"/>
  <c r="BI13" i="2"/>
  <c r="BG13" i="2"/>
  <c r="BF13" i="2"/>
  <c r="BE13" i="2"/>
  <c r="AM19" i="2"/>
  <c r="AM18" i="2"/>
  <c r="AE18" i="2"/>
  <c r="AE25" i="2"/>
  <c r="AI25" i="2"/>
  <c r="AA20" i="2"/>
  <c r="L14" i="2"/>
  <c r="L25" i="2"/>
  <c r="AU20" i="2"/>
  <c r="BA20" i="2" s="1"/>
  <c r="AM22" i="2"/>
  <c r="W22" i="2"/>
  <c r="AQ22" i="2"/>
  <c r="AA22" i="2"/>
  <c r="AE22" i="2"/>
  <c r="AI22" i="2"/>
  <c r="S22" i="2"/>
  <c r="L21" i="2"/>
  <c r="L16" i="2"/>
  <c r="AO28" i="2"/>
  <c r="AK28" i="2"/>
  <c r="AG28" i="2"/>
  <c r="AC28" i="2"/>
  <c r="Y28" i="2"/>
  <c r="U28" i="2"/>
  <c r="AS28" i="2"/>
  <c r="AM16" i="2"/>
  <c r="W19" i="2"/>
  <c r="W18" i="2"/>
  <c r="AM25" i="2"/>
  <c r="BI20" i="2"/>
  <c r="BE20" i="2"/>
  <c r="BH20" i="2"/>
  <c r="BD20" i="2"/>
  <c r="BG20" i="2"/>
  <c r="BJ20" i="2"/>
  <c r="BF20" i="2"/>
  <c r="BB29" i="2"/>
  <c r="AX29" i="2"/>
  <c r="BA29" i="2"/>
  <c r="AW29" i="2"/>
  <c r="AZ29" i="2"/>
  <c r="AV29" i="2"/>
  <c r="AY29" i="2"/>
  <c r="Q44" i="2"/>
  <c r="P44" i="2"/>
  <c r="N44" i="2"/>
  <c r="M44" i="2"/>
  <c r="R44" i="2"/>
  <c r="O44" i="2"/>
  <c r="L44" i="2"/>
  <c r="M45" i="2"/>
  <c r="P45" i="2"/>
  <c r="O45" i="2"/>
  <c r="L45" i="2"/>
  <c r="R45" i="2"/>
  <c r="N45" i="2"/>
  <c r="Q45" i="2"/>
  <c r="S13" i="2" l="1"/>
  <c r="W13" i="2"/>
  <c r="AO30" i="2"/>
  <c r="Z48" i="2" s="1"/>
  <c r="AC30" i="2"/>
  <c r="Z45" i="2" s="1"/>
  <c r="AS30" i="2"/>
  <c r="Z49" i="2" s="1"/>
  <c r="AL30" i="2"/>
  <c r="AA47" i="2" s="1"/>
  <c r="AD30" i="2"/>
  <c r="AA45" i="2" s="1"/>
  <c r="AI13" i="2"/>
  <c r="U30" i="2"/>
  <c r="Z43" i="2" s="1"/>
  <c r="AK30" i="2"/>
  <c r="Z47" i="2" s="1"/>
  <c r="AE13" i="2"/>
  <c r="AM13" i="2"/>
  <c r="Y30" i="2"/>
  <c r="Z44" i="2" s="1"/>
  <c r="AG30" i="2"/>
  <c r="Z46" i="2" s="1"/>
  <c r="V30" i="2"/>
  <c r="AA43" i="2" s="1"/>
  <c r="AP30" i="2"/>
  <c r="AA48" i="2" s="1"/>
  <c r="AY13" i="2"/>
  <c r="AU30" i="2"/>
  <c r="BC30" i="2"/>
  <c r="BJ30" i="2"/>
  <c r="AC49" i="2" s="1"/>
  <c r="AH30" i="2"/>
  <c r="AA46" i="2" s="1"/>
  <c r="Z30" i="2"/>
  <c r="AA44" i="2" s="1"/>
  <c r="AJ13" i="2"/>
  <c r="L30" i="2"/>
  <c r="M30" i="2"/>
  <c r="Q95" i="2"/>
  <c r="AT30" i="2"/>
  <c r="AA49" i="2" s="1"/>
  <c r="AA13" i="2"/>
  <c r="N30" i="2"/>
  <c r="BB13" i="2"/>
  <c r="BF15" i="2"/>
  <c r="BF30" i="2" s="1"/>
  <c r="BI15" i="2"/>
  <c r="BI30" i="2" s="1"/>
  <c r="BE15" i="2"/>
  <c r="BH15" i="2"/>
  <c r="BH30" i="2" s="1"/>
  <c r="AC47" i="2" s="1"/>
  <c r="BD15" i="2"/>
  <c r="BD30" i="2" s="1"/>
  <c r="AC43" i="2" s="1"/>
  <c r="BG15" i="2"/>
  <c r="AZ13" i="2"/>
  <c r="N95" i="2"/>
  <c r="AV13" i="2"/>
  <c r="BA13" i="2"/>
  <c r="T28" i="2"/>
  <c r="X13" i="2"/>
  <c r="AW13" i="2"/>
  <c r="AJ28" i="2"/>
  <c r="AB13" i="2"/>
  <c r="T13" i="2"/>
  <c r="AN13" i="2"/>
  <c r="X28" i="2"/>
  <c r="AR13" i="2"/>
  <c r="AF13" i="2"/>
  <c r="BA21" i="2"/>
  <c r="AN28" i="2"/>
  <c r="AB28" i="2"/>
  <c r="AR28" i="2"/>
  <c r="AX13" i="2"/>
  <c r="AY21" i="2"/>
  <c r="AV21" i="2"/>
  <c r="AX21" i="2"/>
  <c r="AZ21" i="2"/>
  <c r="BB21" i="2"/>
  <c r="AR25" i="2"/>
  <c r="AN25" i="2"/>
  <c r="AJ25" i="2"/>
  <c r="AF25" i="2"/>
  <c r="AB25" i="2"/>
  <c r="X25" i="2"/>
  <c r="T25" i="2"/>
  <c r="AZ18" i="2"/>
  <c r="AW18" i="2"/>
  <c r="AY18" i="2"/>
  <c r="BA18" i="2"/>
  <c r="AV18" i="2"/>
  <c r="BB18" i="2"/>
  <c r="AX18" i="2"/>
  <c r="BB15" i="2"/>
  <c r="AX15" i="2"/>
  <c r="AW15" i="2"/>
  <c r="AZ15" i="2"/>
  <c r="AV15" i="2"/>
  <c r="BA15" i="2"/>
  <c r="AY15" i="2"/>
  <c r="BB24" i="2"/>
  <c r="AX24" i="2"/>
  <c r="AY24" i="2"/>
  <c r="AW24" i="2"/>
  <c r="BA24" i="2"/>
  <c r="AV24" i="2"/>
  <c r="AZ24" i="2"/>
  <c r="R95" i="2"/>
  <c r="AR14" i="2"/>
  <c r="X14" i="2"/>
  <c r="AN14" i="2"/>
  <c r="AB14" i="2"/>
  <c r="AF14" i="2"/>
  <c r="T14" i="2"/>
  <c r="AJ14" i="2"/>
  <c r="AY19" i="2"/>
  <c r="AX19" i="2"/>
  <c r="BA19" i="2"/>
  <c r="BB19" i="2"/>
  <c r="AV19" i="2"/>
  <c r="AZ19" i="2"/>
  <c r="AW19" i="2"/>
  <c r="BB28" i="2"/>
  <c r="AX28" i="2"/>
  <c r="BA28" i="2"/>
  <c r="AW28" i="2"/>
  <c r="AZ28" i="2"/>
  <c r="AV28" i="2"/>
  <c r="AY28" i="2"/>
  <c r="AR16" i="2"/>
  <c r="X16" i="2"/>
  <c r="AN16" i="2"/>
  <c r="AB16" i="2"/>
  <c r="AJ16" i="2"/>
  <c r="AF16" i="2"/>
  <c r="T16" i="2"/>
  <c r="AR19" i="2"/>
  <c r="T19" i="2"/>
  <c r="AJ19" i="2"/>
  <c r="AF19" i="2"/>
  <c r="X19" i="2"/>
  <c r="AN19" i="2"/>
  <c r="AB19" i="2"/>
  <c r="AN24" i="2"/>
  <c r="X24" i="2"/>
  <c r="AR24" i="2"/>
  <c r="AB24" i="2"/>
  <c r="AF24" i="2"/>
  <c r="AJ24" i="2"/>
  <c r="T24" i="2"/>
  <c r="AY14" i="2"/>
  <c r="AW14" i="2"/>
  <c r="BB14" i="2"/>
  <c r="AZ14" i="2"/>
  <c r="AX14" i="2"/>
  <c r="AV14" i="2"/>
  <c r="BA14" i="2"/>
  <c r="BB25" i="2"/>
  <c r="AX25" i="2"/>
  <c r="AZ25" i="2"/>
  <c r="AV25" i="2"/>
  <c r="AY25" i="2"/>
  <c r="AW25" i="2"/>
  <c r="BA25" i="2"/>
  <c r="AR18" i="2"/>
  <c r="AF18" i="2"/>
  <c r="T18" i="2"/>
  <c r="AJ18" i="2"/>
  <c r="X18" i="2"/>
  <c r="AN18" i="2"/>
  <c r="AB18" i="2"/>
  <c r="S15" i="2"/>
  <c r="S30" i="2" s="1"/>
  <c r="AM15" i="2"/>
  <c r="AI15" i="2"/>
  <c r="AQ15" i="2"/>
  <c r="AQ30" i="2" s="1"/>
  <c r="AA15" i="2"/>
  <c r="AE15" i="2"/>
  <c r="W15" i="2"/>
  <c r="BA16" i="2"/>
  <c r="AW16" i="2"/>
  <c r="AY16" i="2"/>
  <c r="AX16" i="2"/>
  <c r="AZ16" i="2"/>
  <c r="BB16" i="2"/>
  <c r="AV16" i="2"/>
  <c r="AR20" i="2"/>
  <c r="AN20" i="2"/>
  <c r="AJ20" i="2"/>
  <c r="AF20" i="2"/>
  <c r="AB20" i="2"/>
  <c r="X20" i="2"/>
  <c r="T20" i="2"/>
  <c r="BB22" i="2"/>
  <c r="AX22" i="2"/>
  <c r="AW22" i="2"/>
  <c r="BA22" i="2"/>
  <c r="AV22" i="2"/>
  <c r="AZ22" i="2"/>
  <c r="AY22" i="2"/>
  <c r="AR21" i="2"/>
  <c r="AN21" i="2"/>
  <c r="AJ21" i="2"/>
  <c r="AF21" i="2"/>
  <c r="AB21" i="2"/>
  <c r="X21" i="2"/>
  <c r="T21" i="2"/>
  <c r="AW20" i="2"/>
  <c r="AZ20" i="2"/>
  <c r="AV20" i="2"/>
  <c r="AY20" i="2"/>
  <c r="BB20" i="2"/>
  <c r="AX20" i="2"/>
  <c r="AR15" i="2"/>
  <c r="AJ15" i="2"/>
  <c r="X15" i="2"/>
  <c r="AB15" i="2"/>
  <c r="AF15" i="2"/>
  <c r="AN15" i="2"/>
  <c r="T15" i="2"/>
  <c r="AR22" i="2"/>
  <c r="AB22" i="2"/>
  <c r="AF22" i="2"/>
  <c r="AJ22" i="2"/>
  <c r="T22" i="2"/>
  <c r="AN22" i="2"/>
  <c r="X22" i="2"/>
  <c r="L95" i="2"/>
  <c r="P95" i="2"/>
  <c r="O95" i="2"/>
  <c r="M95" i="2"/>
  <c r="O31" i="3" l="1"/>
  <c r="W30" i="2"/>
  <c r="X44" i="2" s="1"/>
  <c r="AE30" i="2"/>
  <c r="X46" i="2" s="1"/>
  <c r="AI30" i="2"/>
  <c r="X47" i="2" s="1"/>
  <c r="AM30" i="2"/>
  <c r="X48" i="2" s="1"/>
  <c r="AY30" i="2"/>
  <c r="AB46" i="2" s="1"/>
  <c r="AF30" i="2"/>
  <c r="Y46" i="2" s="1"/>
  <c r="T30" i="2"/>
  <c r="Y43" i="2" s="1"/>
  <c r="X30" i="2"/>
  <c r="Y44" i="2" s="1"/>
  <c r="BB30" i="2"/>
  <c r="AB49" i="2" s="1"/>
  <c r="AR30" i="2"/>
  <c r="Y49" i="2" s="1"/>
  <c r="AB30" i="2"/>
  <c r="Y45" i="2" s="1"/>
  <c r="AZ30" i="2"/>
  <c r="AB47" i="2" s="1"/>
  <c r="BA30" i="2"/>
  <c r="AB48" i="2" s="1"/>
  <c r="AC48" i="2"/>
  <c r="P29" i="3" s="1"/>
  <c r="AA30" i="2"/>
  <c r="X45" i="2" s="1"/>
  <c r="AX30" i="2"/>
  <c r="AB45" i="2" s="1"/>
  <c r="AN30" i="2"/>
  <c r="Y48" i="2" s="1"/>
  <c r="AW30" i="2"/>
  <c r="AB44" i="2" s="1"/>
  <c r="AV30" i="2"/>
  <c r="AB43" i="2" s="1"/>
  <c r="AC45" i="2"/>
  <c r="BE30" i="2"/>
  <c r="AC44" i="2" s="1"/>
  <c r="AJ30" i="2"/>
  <c r="Y47" i="2" s="1"/>
  <c r="BG30" i="2"/>
  <c r="AC46" i="2" s="1"/>
  <c r="O30" i="3"/>
  <c r="X43" i="2"/>
  <c r="X49" i="2"/>
  <c r="O29" i="3" l="1"/>
  <c r="O28" i="3"/>
  <c r="O33" i="3"/>
  <c r="P33" i="3" l="1"/>
  <c r="O35" i="3" s="1"/>
  <c r="Q33" i="3" s="1"/>
  <c r="P31" i="3"/>
  <c r="Q29" i="3" s="1"/>
  <c r="S7" i="5" l="1"/>
  <c r="S4" i="5"/>
  <c r="S6" i="5"/>
  <c r="S5" i="5"/>
  <c r="O22" i="3" l="1"/>
  <c r="P22" i="3" s="1"/>
  <c r="O23" i="3"/>
  <c r="P23" i="3" s="1"/>
  <c r="O24" i="3"/>
  <c r="P24" i="3" s="1"/>
  <c r="Q23" i="3" l="1"/>
  <c r="P38" i="3" s="1"/>
  <c r="P27" i="3" l="1"/>
  <c r="Z7" i="5"/>
  <c r="Z6" i="5"/>
  <c r="P25" i="3"/>
  <c r="Z5" i="5"/>
  <c r="P26" i="3"/>
  <c r="Z4" i="5"/>
  <c r="O36" i="3" l="1"/>
  <c r="P36" i="3" s="1"/>
  <c r="Q26" i="3"/>
  <c r="O37" i="3"/>
  <c r="P37" i="3" s="1"/>
  <c r="N41" i="3" l="1"/>
  <c r="P41" i="3" s="1"/>
  <c r="Q4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Carlos Romero Romero</author>
  </authors>
  <commentList>
    <comment ref="O29" authorId="0" shapeId="0" xr:uid="{1A4CF343-8A2C-4793-96B3-2E3B2354FF6E}">
      <text>
        <r>
          <rPr>
            <sz val="9"/>
            <color indexed="81"/>
            <rFont val="Tahoma"/>
            <family val="2"/>
          </rPr>
          <t xml:space="preserve">
INCOTERM</t>
        </r>
      </text>
    </comment>
    <comment ref="O31" authorId="0" shapeId="0" xr:uid="{B7E58520-80CC-4FC9-8B9C-A8C0A0C0C9BD}">
      <text>
        <r>
          <rPr>
            <sz val="9"/>
            <color indexed="81"/>
            <rFont val="Tahoma"/>
            <family val="2"/>
          </rPr>
          <t xml:space="preserve">
INCOTERM</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F3" authorId="0" shapeId="0" xr:uid="{00000000-0006-0000-0500-000001000000}">
      <text>
        <r>
          <rPr>
            <sz val="9"/>
            <color rgb="FF000000"/>
            <rFont val="Tahoma"/>
            <family val="2"/>
          </rPr>
          <t xml:space="preserve">Para la actualización del transporte de materiales y equipos importados, se cambia en el modelo el valor en $/Ton-Km calculado con el CISE-TAC 2.0 del Ministerio de transporte para una ciudad de representativa de cada una de las regiones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Luis Carlos Romero Romero</author>
  </authors>
  <commentList>
    <comment ref="P13" authorId="0" shapeId="0" xr:uid="{B6B10E90-68C4-4055-9D76-43E41D887BC0}">
      <text>
        <r>
          <rPr>
            <sz val="9"/>
            <color indexed="81"/>
            <rFont val="Tahoma"/>
            <family val="2"/>
          </rPr>
          <t xml:space="preserve">Indexador va a pesos, fact mano de obra esta en dólares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<sst xmlns="http://schemas.openxmlformats.org/spreadsheetml/2006/main" count="3784" uniqueCount="1233">
  <si>
    <t>MODELO DE VALORACIÓN DE ESTACIONES DE BOMBEO PARA POLIDUCTOS</t>
  </si>
  <si>
    <t>Actualizaciones realizadas por CREG</t>
  </si>
  <si>
    <t xml:space="preserve">Instrucciones: </t>
  </si>
  <si>
    <t>Fije año y mes de valoración</t>
  </si>
  <si>
    <t xml:space="preserve">Identifique el tipo de estación </t>
  </si>
  <si>
    <t>Diligencie  la capacidad del  sistema de bombeo a valorar y su potencia</t>
  </si>
  <si>
    <t>Identifique la región de la estación</t>
  </si>
  <si>
    <t>Active o desactive los componentes del sistema según tipiificación específica de las estación</t>
  </si>
  <si>
    <t>En sistemas contra incendios debe tener cuantos sistemas tiene o se considerará sistema estandar</t>
  </si>
  <si>
    <t>Actualice los indices  a la fecha más cercana posible tenga presente que las  series PPI son preliminares por cuatro (4) meses despues de ser difundidos</t>
  </si>
  <si>
    <t>TIPIFICACIÓN DE LA ESTACIÓN  EN CUANTO A COMPONENTES</t>
  </si>
  <si>
    <t xml:space="preserve">MODELO DE VALORACIÓN DE ESTACIONES DE BOMBEO PARA COMBUSTIBLES LÍQUIDOS </t>
  </si>
  <si>
    <t>DATO ENTRADA</t>
  </si>
  <si>
    <t>Sistemas Principales</t>
  </si>
  <si>
    <t>Seleccione los componentes</t>
  </si>
  <si>
    <t>FORMULA</t>
  </si>
  <si>
    <t>Sistema de evacuación de tanques</t>
  </si>
  <si>
    <t>Sistema de Bombeo</t>
  </si>
  <si>
    <t>TEXTOS FIJOS</t>
  </si>
  <si>
    <t>Sistema de recibo</t>
  </si>
  <si>
    <t>Booster</t>
  </si>
  <si>
    <t>Sistema de reducción de presión</t>
  </si>
  <si>
    <t>Bomba principal</t>
  </si>
  <si>
    <t>Sistema de filtrado</t>
  </si>
  <si>
    <t>Año – Mes base</t>
  </si>
  <si>
    <t>Sistema de medición</t>
  </si>
  <si>
    <t>Sistema de despacho</t>
  </si>
  <si>
    <t>Año - Mes cálculo</t>
  </si>
  <si>
    <t>Sistema contraincendios</t>
  </si>
  <si>
    <t>Sistema de control y monitoreo</t>
  </si>
  <si>
    <t>Sistema de comunicaciones</t>
  </si>
  <si>
    <t xml:space="preserve">Sistema de recuperación de producto y tratamiento </t>
  </si>
  <si>
    <t>Tipo Estación</t>
  </si>
  <si>
    <t xml:space="preserve">Selección </t>
  </si>
  <si>
    <t>Sistema de marcación</t>
  </si>
  <si>
    <t>HP</t>
  </si>
  <si>
    <t>Sistema de tratamiento y manejo de aguas</t>
  </si>
  <si>
    <t>kbls/día</t>
  </si>
  <si>
    <t>Regionalización</t>
  </si>
  <si>
    <t>Costa caribe</t>
  </si>
  <si>
    <t>Edificaciones</t>
  </si>
  <si>
    <t>Soporte</t>
  </si>
  <si>
    <t>Sala de operaciones</t>
  </si>
  <si>
    <t>Sistema eléctrico</t>
  </si>
  <si>
    <t>Edificio CCM</t>
  </si>
  <si>
    <t>Servicios industriales</t>
  </si>
  <si>
    <t>ITEMS GENERALES DE COSTO</t>
  </si>
  <si>
    <t>Factores de cálculo</t>
  </si>
  <si>
    <t>COSTOS
USD$</t>
  </si>
  <si>
    <t>COSTOS TOTALES USD$</t>
  </si>
  <si>
    <t>METODOLOGÍA DE  CALCULO</t>
  </si>
  <si>
    <t>Oficinas administrativas</t>
  </si>
  <si>
    <t>Viglancia y seguridad</t>
  </si>
  <si>
    <t>INGENIERIA</t>
  </si>
  <si>
    <t>CONCEPTUAL</t>
  </si>
  <si>
    <t xml:space="preserve"> COSTO DE INGENIERIA + IVA</t>
  </si>
  <si>
    <t>7% DEL COSTO DE MATERIALES, EQUIPOS, CONTRUCCION Y MONTAJE</t>
  </si>
  <si>
    <t>Talleres</t>
  </si>
  <si>
    <t>Instalación Militar</t>
  </si>
  <si>
    <t>BASICA</t>
  </si>
  <si>
    <t>Otras edificaciones menores</t>
  </si>
  <si>
    <t>DETALLE</t>
  </si>
  <si>
    <t>GESTION INMOBILIARIA</t>
  </si>
  <si>
    <t xml:space="preserve"> GESTION INMOBILIARIA + LICENCIAMIENTO AMBIENTAL + GESTION SOCIAL + IVA</t>
  </si>
  <si>
    <r>
      <rPr>
        <sz val="9"/>
        <rFont val="Arial"/>
        <family val="2"/>
        <charset val="1"/>
      </rPr>
      <t>5</t>
    </r>
    <r>
      <rPr>
        <sz val="9"/>
        <color rgb="FF000000"/>
        <rFont val="Arial"/>
        <family val="2"/>
        <charset val="1"/>
      </rPr>
      <t>% DEL COSTO DE INGENIERIA, MATERIALES, EQUIPOS, CONTRUCCION, MONTAJE Y COMISIONAMIENTO</t>
    </r>
  </si>
  <si>
    <t>Complementarios</t>
  </si>
  <si>
    <t>LICENCIAMIENTO AMBIENTAL Y DE CONSTRUCCION</t>
  </si>
  <si>
    <t>Desmantelamiento</t>
  </si>
  <si>
    <t>GESTION SOCIAL</t>
  </si>
  <si>
    <t>Geotécnia</t>
  </si>
  <si>
    <t>MATERIALES</t>
  </si>
  <si>
    <t>NACIONAL (indexado)</t>
  </si>
  <si>
    <t>1. COSTO DE TRANSPORTE DE MATERIALES Y EQUIPOS</t>
  </si>
  <si>
    <t>3. COSTO DE MATERIALES + TRANSPORTE + IVA</t>
  </si>
  <si>
    <t>DESPIECE</t>
  </si>
  <si>
    <t>Paisajismo y urbanismo</t>
  </si>
  <si>
    <t>IMPORTADO ( indexado) Nacionalizado</t>
  </si>
  <si>
    <t>Vías</t>
  </si>
  <si>
    <t>EQUIPOS</t>
  </si>
  <si>
    <t>2. COSTO DE MATERIALES + TRANSPORTE</t>
  </si>
  <si>
    <t>IMPORTADO (indexado) Nacionalizado</t>
  </si>
  <si>
    <t>CONSTRUCCIÓN Y MONTAJE (indexado)</t>
  </si>
  <si>
    <t xml:space="preserve">1.COSTO BASE </t>
  </si>
  <si>
    <t>2.COSTO  REGIONALIZADO Y AJUSTADO</t>
  </si>
  <si>
    <t>4. COSTO  REGIONALIZADO Y AJUSTADO + UTILIDAD + IVA 19%</t>
  </si>
  <si>
    <t>FACTORES</t>
  </si>
  <si>
    <t>3. COSTO  REGIONALIZADO Y AJUSTADO + UTILIDAD</t>
  </si>
  <si>
    <t>INTERVENTORIA</t>
  </si>
  <si>
    <t>7% DEL COSTO DE CONSTRUCCIÓN, MONTAJE Y COMISIONAMIENTO</t>
  </si>
  <si>
    <t>GERENCIA DE PROYECTO</t>
  </si>
  <si>
    <t>20% DEL COSTO DE CONSTRUCCIÓN, MONTAJE Y COMISIONAMIENTO</t>
  </si>
  <si>
    <t>COMISIONADO Y ENTREGA
(PRE-COMMISSIONING &amp; COMMISSIONING)</t>
  </si>
  <si>
    <t>5% DEL COSTO DE INGENIERIA, CONSTRUCCIÓN, MONTAJE, MATERIALES Y EQUIPOS</t>
  </si>
  <si>
    <t>GRAN TOTAL COSTO DE CONSTRUCCIÓN ESTACIÓN</t>
  </si>
  <si>
    <t>$/HP</t>
  </si>
  <si>
    <t>$/Kbl</t>
  </si>
  <si>
    <t>Estimado clase 3 rango de incertidumbre de -20% a +30%</t>
  </si>
  <si>
    <t>FACTOR DE TAMAÑO</t>
  </si>
  <si>
    <t>USD$/HP
ANUAL</t>
  </si>
  <si>
    <t>COSTO PROMEDIO DE MANTENIMIENTO USD$/AÑO</t>
  </si>
  <si>
    <t>POTENCIA INSTALADA DE LA ESTACIÓN
HP</t>
  </si>
  <si>
    <t>USD$ - AÑO</t>
  </si>
  <si>
    <t>MANTENIMIENTO DE LA ESTACIÓN</t>
  </si>
  <si>
    <t>REPOTENCIACIÓN CASO 1</t>
  </si>
  <si>
    <t>INICIAL CON TANQUES</t>
  </si>
  <si>
    <t>INICIAL SIN TANQUES</t>
  </si>
  <si>
    <t>REBOMBEO</t>
  </si>
  <si>
    <t>TERMINAL SIN TANQUES</t>
  </si>
  <si>
    <t>TERMINAL CON TANQUES</t>
  </si>
  <si>
    <t>REPOTENCIACIÓN CASO 2</t>
  </si>
  <si>
    <t>Nombre del indicador</t>
  </si>
  <si>
    <t>TRM mes año de cálculo $/USD</t>
  </si>
  <si>
    <t>https://www.banrep.gov.co/es/estadisticas/trm</t>
  </si>
  <si>
    <t>Fecha</t>
  </si>
  <si>
    <t>TRM año de cálculo $/USD</t>
  </si>
  <si>
    <t>PPI USA ACERO</t>
  </si>
  <si>
    <t>IPC</t>
  </si>
  <si>
    <t>PPI USA - BOMBAS INDUSTRIALES</t>
  </si>
  <si>
    <t>PPI USA – FILTROS</t>
  </si>
  <si>
    <t>PPI USA – MEDIDORES, GASES Y LIQUIDOS</t>
  </si>
  <si>
    <t>PPI USA – GENEADORES DE POTENCIA</t>
  </si>
  <si>
    <t>PPI USA – TRANSFORMADORES DISTRI. Y POTE.</t>
  </si>
  <si>
    <t>PPI USA – INSTR. DE CONTROL PROC. INDUSTR.</t>
  </si>
  <si>
    <t>PPI USA – TABLEROS Y EQUIPOS DE CONTROL.</t>
  </si>
  <si>
    <t>FACTOR  INCREMENTO MANO DE OBRA</t>
  </si>
  <si>
    <t>IPC_dólares</t>
  </si>
  <si>
    <t>año</t>
  </si>
  <si>
    <t>Salarios</t>
  </si>
  <si>
    <t>MES</t>
  </si>
  <si>
    <t>TRM</t>
  </si>
  <si>
    <t xml:space="preserve">PPI USA - BARRAS PLATINAS ESTRUCTURAS DE ACERO	</t>
  </si>
  <si>
    <t xml:space="preserve">pcu3311103311107       </t>
  </si>
  <si>
    <t>Hot rolled steel bars, plates, and structural shapes</t>
  </si>
  <si>
    <t>https://data.bls.gov/cgi-bin/srgate</t>
  </si>
  <si>
    <t>https://www.banrep.gov.co/es/estadisticas/indice-precios-consumidor-ipc</t>
  </si>
  <si>
    <t xml:space="preserve">pcu333914333914114     </t>
  </si>
  <si>
    <t>Industrial pumps, excluding hydraulic fluid power pumps, automatic circulating pumps, etc.</t>
  </si>
  <si>
    <t xml:space="preserve">pcu333998333998911     </t>
  </si>
  <si>
    <t>Industrial filters and strainers and reusable media, except fluid power</t>
  </si>
  <si>
    <t xml:space="preserve">pcu334514334514    </t>
  </si>
  <si>
    <t>Totalizing fluid meters and counting devices mfg</t>
  </si>
  <si>
    <t>PPI USA – GENERADORES DE POTENCIA</t>
  </si>
  <si>
    <t xml:space="preserve">pcu3353123353123      </t>
  </si>
  <si>
    <t>Integral horsepower motors &amp; generators other than for land transport equipment (exc hermetics)</t>
  </si>
  <si>
    <t xml:space="preserve">pcu335311335311       </t>
  </si>
  <si>
    <t>Electric power and specialty transformer mfg</t>
  </si>
  <si>
    <t xml:space="preserve">pcu3345133345130    </t>
  </si>
  <si>
    <t>Process control instruments</t>
  </si>
  <si>
    <t xml:space="preserve">pcu335314335314       </t>
  </si>
  <si>
    <t>Relay and industrial control mfg</t>
  </si>
  <si>
    <t>FACTOR INCREMENTO MANO DE OBRA</t>
  </si>
  <si>
    <t>A partir de evolución del salario mínimo</t>
  </si>
  <si>
    <t>http://www.banrep.gov.co/es/indice-salarios</t>
  </si>
  <si>
    <t>Se recomienda bajar la serie completa, recuerde que los PPI de los últimos cuatro meses que ha públicado BLS.gov son preliminares , por lo que se sugiere tomar la fecha de valoración en una con los PPI ya fijos.</t>
  </si>
  <si>
    <t>MES DE VALORACIÓN</t>
  </si>
  <si>
    <t>MES BASE</t>
  </si>
  <si>
    <t xml:space="preserve">PPI USA ACERO </t>
  </si>
  <si>
    <t>ARANCEL</t>
  </si>
  <si>
    <t>IVA</t>
  </si>
  <si>
    <t>AJUSTE COSTO IMPORTACIONES POR LOGISTICA DE TRANSPORTE</t>
  </si>
  <si>
    <t>Concepto</t>
  </si>
  <si>
    <t>General</t>
  </si>
  <si>
    <t>Especial</t>
  </si>
  <si>
    <t>General (Base)</t>
  </si>
  <si>
    <t>Especial (Base)</t>
  </si>
  <si>
    <t>Transporte terreste exterior</t>
  </si>
  <si>
    <t>Transporte internacional</t>
  </si>
  <si>
    <t>Cadena Logistica</t>
  </si>
  <si>
    <t>Operación aduanera</t>
  </si>
  <si>
    <t>Total</t>
  </si>
  <si>
    <t>2024/06/22</t>
  </si>
  <si>
    <t>2024/06/23</t>
  </si>
  <si>
    <t>2024/06/24</t>
  </si>
  <si>
    <t>2024/06/25</t>
  </si>
  <si>
    <t>2024/06/26</t>
  </si>
  <si>
    <t>2024/06/27</t>
  </si>
  <si>
    <t>2024/06/28</t>
  </si>
  <si>
    <t>2024/06/29</t>
  </si>
  <si>
    <t>2024/06/30</t>
  </si>
  <si>
    <t>2024/07/01</t>
  </si>
  <si>
    <t>2024/07/02</t>
  </si>
  <si>
    <t>2024/07/03</t>
  </si>
  <si>
    <t>2024/07/04</t>
  </si>
  <si>
    <t>2024/07/05</t>
  </si>
  <si>
    <t>2024/07/06</t>
  </si>
  <si>
    <t>2024/07/07</t>
  </si>
  <si>
    <t>2024/07/08</t>
  </si>
  <si>
    <t>2024/07/09</t>
  </si>
  <si>
    <t>2024/07/10</t>
  </si>
  <si>
    <t>2024/07/11</t>
  </si>
  <si>
    <t>2024/07/12</t>
  </si>
  <si>
    <t>2024/07/13</t>
  </si>
  <si>
    <t>2024/07/14</t>
  </si>
  <si>
    <t>2024/07/15</t>
  </si>
  <si>
    <t>2024/07/16</t>
  </si>
  <si>
    <t>2024/07/17</t>
  </si>
  <si>
    <t>2024/07/18</t>
  </si>
  <si>
    <t>2024/07/19</t>
  </si>
  <si>
    <t>2024/07/20</t>
  </si>
  <si>
    <t>2024/07/21</t>
  </si>
  <si>
    <t>2024/07/22</t>
  </si>
  <si>
    <t>2024/07/23</t>
  </si>
  <si>
    <t>2024/07/24</t>
  </si>
  <si>
    <t>2024/07/25</t>
  </si>
  <si>
    <t>2024/07/26</t>
  </si>
  <si>
    <t>2024/07/27</t>
  </si>
  <si>
    <t>2024/07/28</t>
  </si>
  <si>
    <t>2024/07/29</t>
  </si>
  <si>
    <t>2024/07/30</t>
  </si>
  <si>
    <t>2024/07/31</t>
  </si>
  <si>
    <t>2024/08/01</t>
  </si>
  <si>
    <t>2024/08/02</t>
  </si>
  <si>
    <t>2024/08/03</t>
  </si>
  <si>
    <t>2024/08/04</t>
  </si>
  <si>
    <t>2024/08/05</t>
  </si>
  <si>
    <t>2024/08/06</t>
  </si>
  <si>
    <t>2024/08/07</t>
  </si>
  <si>
    <t>2024/08/08</t>
  </si>
  <si>
    <t>2024/08/09</t>
  </si>
  <si>
    <t>2024/08/10</t>
  </si>
  <si>
    <t>2024/08/11</t>
  </si>
  <si>
    <t>2024/08/12</t>
  </si>
  <si>
    <t>2024/08/13</t>
  </si>
  <si>
    <t>2024/08/14</t>
  </si>
  <si>
    <t>2024/08/15</t>
  </si>
  <si>
    <t>2024/08/16</t>
  </si>
  <si>
    <t>2024/08/17</t>
  </si>
  <si>
    <t>2024/08/18</t>
  </si>
  <si>
    <t>2024/08/19</t>
  </si>
  <si>
    <t>2024/08/20</t>
  </si>
  <si>
    <t>2024/08/21</t>
  </si>
  <si>
    <t>2024/08/22</t>
  </si>
  <si>
    <t>2024/08/23</t>
  </si>
  <si>
    <t>2024/08/24</t>
  </si>
  <si>
    <t>2024/08/25</t>
  </si>
  <si>
    <t>2024/08/26</t>
  </si>
  <si>
    <t>2024/08/27</t>
  </si>
  <si>
    <t>2024/08/28</t>
  </si>
  <si>
    <t>2024/08/29</t>
  </si>
  <si>
    <t>2024/08/30</t>
  </si>
  <si>
    <t>2024/08/31</t>
  </si>
  <si>
    <t>2024/09/01</t>
  </si>
  <si>
    <t>2024/09/02</t>
  </si>
  <si>
    <t>2024/09/03</t>
  </si>
  <si>
    <t>2024/09/04</t>
  </si>
  <si>
    <t>2024/09/05</t>
  </si>
  <si>
    <t>2024/09/06</t>
  </si>
  <si>
    <t>2024/09/07</t>
  </si>
  <si>
    <t>2024/09/08</t>
  </si>
  <si>
    <t>2024/09/09</t>
  </si>
  <si>
    <t>2024/09/10</t>
  </si>
  <si>
    <t>2024/09/11</t>
  </si>
  <si>
    <t>2024/09/12</t>
  </si>
  <si>
    <t>2024/09/13</t>
  </si>
  <si>
    <t>2024/09/14</t>
  </si>
  <si>
    <t>2024/09/15</t>
  </si>
  <si>
    <t>2024/09/16</t>
  </si>
  <si>
    <t>2024/09/17</t>
  </si>
  <si>
    <t>2024/09/18</t>
  </si>
  <si>
    <t>2024/09/19</t>
  </si>
  <si>
    <t>2024/09/20</t>
  </si>
  <si>
    <t>2024/09/21</t>
  </si>
  <si>
    <t>2024/09/22</t>
  </si>
  <si>
    <t>2024/09/23</t>
  </si>
  <si>
    <t>2024/09/24</t>
  </si>
  <si>
    <t>2024/09/25</t>
  </si>
  <si>
    <t>2024/09/26</t>
  </si>
  <si>
    <t>2024/09/27</t>
  </si>
  <si>
    <t>2024/09/28</t>
  </si>
  <si>
    <t>2024/09/29</t>
  </si>
  <si>
    <t>2024/09/30</t>
  </si>
  <si>
    <t>2024/10/01</t>
  </si>
  <si>
    <t>2024/10/02</t>
  </si>
  <si>
    <t>2024/10/03</t>
  </si>
  <si>
    <t>2024/10/04</t>
  </si>
  <si>
    <t>2024/10/05</t>
  </si>
  <si>
    <t>2024/10/06</t>
  </si>
  <si>
    <t>2024/10/07</t>
  </si>
  <si>
    <t>2024/10/08</t>
  </si>
  <si>
    <t>2024/10/09</t>
  </si>
  <si>
    <t>2024/10/10</t>
  </si>
  <si>
    <t>2024/10/11</t>
  </si>
  <si>
    <t>2024/10/12</t>
  </si>
  <si>
    <t>2024/10/13</t>
  </si>
  <si>
    <t>2024/10/14</t>
  </si>
  <si>
    <t>2024/10/15</t>
  </si>
  <si>
    <t>2024/10/16</t>
  </si>
  <si>
    <t>2024/10/17</t>
  </si>
  <si>
    <t>2024/10/18</t>
  </si>
  <si>
    <t>2024/10/19</t>
  </si>
  <si>
    <t>2024/10/20</t>
  </si>
  <si>
    <t>2024/10/21</t>
  </si>
  <si>
    <t>2024/10/22</t>
  </si>
  <si>
    <t>2024/10/23</t>
  </si>
  <si>
    <t>2024/10/24</t>
  </si>
  <si>
    <t>2024/10/25</t>
  </si>
  <si>
    <t>2024/10/26</t>
  </si>
  <si>
    <t>2024/10/27</t>
  </si>
  <si>
    <t>2024/10/28</t>
  </si>
  <si>
    <t>2024/10/29</t>
  </si>
  <si>
    <t>2024/10/30</t>
  </si>
  <si>
    <t>2024/10/31</t>
  </si>
  <si>
    <t>2024/11/01</t>
  </si>
  <si>
    <t>2024/11/02</t>
  </si>
  <si>
    <t>2024/11/03</t>
  </si>
  <si>
    <t>2024/11/04</t>
  </si>
  <si>
    <t>2024/11/05</t>
  </si>
  <si>
    <t>2024/11/06</t>
  </si>
  <si>
    <t>2024/11/07</t>
  </si>
  <si>
    <t>2024/11/08</t>
  </si>
  <si>
    <t>2024/11/09</t>
  </si>
  <si>
    <t>2024/11/10</t>
  </si>
  <si>
    <t>2024/11/11</t>
  </si>
  <si>
    <t>2024/11/12</t>
  </si>
  <si>
    <t>2024/11/13</t>
  </si>
  <si>
    <t>2024/11/14</t>
  </si>
  <si>
    <t>2024/11/15</t>
  </si>
  <si>
    <t>2024/11/16</t>
  </si>
  <si>
    <t>2024/11/17</t>
  </si>
  <si>
    <t>2024/11/18</t>
  </si>
  <si>
    <t>2024/11/19</t>
  </si>
  <si>
    <t>2024/11/20</t>
  </si>
  <si>
    <t>2024/11/21</t>
  </si>
  <si>
    <t>2024/11/22</t>
  </si>
  <si>
    <t>2024/11/23</t>
  </si>
  <si>
    <t>2024/11/24</t>
  </si>
  <si>
    <t>2024/11/25</t>
  </si>
  <si>
    <t>2024/11/26</t>
  </si>
  <si>
    <t>2024/11/27</t>
  </si>
  <si>
    <t>2024/11/28</t>
  </si>
  <si>
    <t>2024/11/29</t>
  </si>
  <si>
    <t>2024/11/30</t>
  </si>
  <si>
    <t>2024/12/01</t>
  </si>
  <si>
    <t>2024/12/02</t>
  </si>
  <si>
    <t>2024/12/03</t>
  </si>
  <si>
    <t>2024/12/04</t>
  </si>
  <si>
    <t>2024/12/05</t>
  </si>
  <si>
    <t>2024/12/06</t>
  </si>
  <si>
    <t>2024/12/07</t>
  </si>
  <si>
    <t>2024/12/08</t>
  </si>
  <si>
    <t>2024/12/09</t>
  </si>
  <si>
    <t>2024/12/10</t>
  </si>
  <si>
    <t>2024/12/11</t>
  </si>
  <si>
    <t>2024/12/12</t>
  </si>
  <si>
    <t>2024/12/13</t>
  </si>
  <si>
    <t>2024/12/14</t>
  </si>
  <si>
    <t>2024/12/15</t>
  </si>
  <si>
    <t>2024/12/16</t>
  </si>
  <si>
    <t>2024/12/17</t>
  </si>
  <si>
    <t>2024/12/18</t>
  </si>
  <si>
    <t>2024/12/19</t>
  </si>
  <si>
    <t>2024/12/20</t>
  </si>
  <si>
    <t>2024/12/21</t>
  </si>
  <si>
    <t>2024/12/22</t>
  </si>
  <si>
    <t>2024/12/23</t>
  </si>
  <si>
    <t>2024/12/24</t>
  </si>
  <si>
    <t>2024/12/25</t>
  </si>
  <si>
    <t>2024/12/26</t>
  </si>
  <si>
    <t>2024/12/27</t>
  </si>
  <si>
    <t>2024/12/28</t>
  </si>
  <si>
    <t>2024/12/29</t>
  </si>
  <si>
    <t>2024/12/30</t>
  </si>
  <si>
    <t>2024/12/31</t>
  </si>
  <si>
    <t>2025/01/01</t>
  </si>
  <si>
    <t>2025/01/02</t>
  </si>
  <si>
    <t>2025/01/03</t>
  </si>
  <si>
    <t>2025/01/04</t>
  </si>
  <si>
    <t>2025/01/05</t>
  </si>
  <si>
    <t>2025/01/06</t>
  </si>
  <si>
    <t>2025/01/07</t>
  </si>
  <si>
    <t>2025/01/08</t>
  </si>
  <si>
    <t>2025/01/09</t>
  </si>
  <si>
    <t>2025/01/10</t>
  </si>
  <si>
    <t>2025/01/11</t>
  </si>
  <si>
    <t>2025/01/12</t>
  </si>
  <si>
    <t>2025/01/13</t>
  </si>
  <si>
    <t>2025/01/14</t>
  </si>
  <si>
    <t>2025/01/15</t>
  </si>
  <si>
    <t>2025/01/16</t>
  </si>
  <si>
    <t>2025/01/17</t>
  </si>
  <si>
    <t>2025/01/18</t>
  </si>
  <si>
    <t>2025/01/19</t>
  </si>
  <si>
    <t>2025/01/20</t>
  </si>
  <si>
    <t>2025/01/21</t>
  </si>
  <si>
    <t>2025/01/22</t>
  </si>
  <si>
    <t>2025/01/23</t>
  </si>
  <si>
    <t>2025/01/24</t>
  </si>
  <si>
    <t>2025/01/25</t>
  </si>
  <si>
    <t>2025/01/26</t>
  </si>
  <si>
    <t>2025/01/27</t>
  </si>
  <si>
    <t>fac_sop_meta</t>
  </si>
  <si>
    <t>Porcentaje estimado de soportes metálicos x peso de materiales</t>
  </si>
  <si>
    <t>$kg_sop_meta</t>
  </si>
  <si>
    <t>Costo unitario de un kilogramo de soportería metallica en USD $</t>
  </si>
  <si>
    <t>Componentes</t>
  </si>
  <si>
    <t>ESTACIÓN NUEVA</t>
  </si>
  <si>
    <t>REPOTENCIACIÓN</t>
  </si>
  <si>
    <t>MONTAJE</t>
  </si>
  <si>
    <t>PESO EN KLG DE MATERIALES</t>
  </si>
  <si>
    <t>INICIAL
Con TKs</t>
  </si>
  <si>
    <t>INICIAL
Sin TKs</t>
  </si>
  <si>
    <t>TERMINAL
Sin TKs</t>
  </si>
  <si>
    <t>TERMINAL
Con TKs</t>
  </si>
  <si>
    <t>CASO 1</t>
  </si>
  <si>
    <t>CASO 2</t>
  </si>
  <si>
    <t>CODIGO</t>
  </si>
  <si>
    <t xml:space="preserve">SISTEMAS </t>
  </si>
  <si>
    <t>Materiales UDS$</t>
  </si>
  <si>
    <t>Soportería metálica</t>
  </si>
  <si>
    <t>Equipos rotativos UDS$</t>
  </si>
  <si>
    <t>Equipos UDS$</t>
  </si>
  <si>
    <t>Materiales</t>
  </si>
  <si>
    <t>Equipos</t>
  </si>
  <si>
    <t xml:space="preserve"> COSTOS DE MONTAJE</t>
  </si>
  <si>
    <t>REPOTENCIACION CASO 1</t>
  </si>
  <si>
    <t xml:space="preserve"> PESO MATERIALES</t>
  </si>
  <si>
    <t>FACTORES DE COSTO</t>
  </si>
  <si>
    <t>SISTEMAS PRINCIPALES</t>
  </si>
  <si>
    <t>Nacionales</t>
  </si>
  <si>
    <t>Importados</t>
  </si>
  <si>
    <t>Peso (kg)</t>
  </si>
  <si>
    <t>USD$</t>
  </si>
  <si>
    <t>Sistema de Almacenamiento</t>
  </si>
  <si>
    <t>1.1.1</t>
  </si>
  <si>
    <t>Tanques de Almacenamiento</t>
  </si>
  <si>
    <t>Sistema de Evacuación de Tanques</t>
  </si>
  <si>
    <t xml:space="preserve">Sistema de Recibo </t>
  </si>
  <si>
    <t>Sistema de Medición</t>
  </si>
  <si>
    <t>1.6.1</t>
  </si>
  <si>
    <t>Patín Medición Transferencia en Custodia Recibo o Despacho-Entregas</t>
  </si>
  <si>
    <t>1.6.2</t>
  </si>
  <si>
    <t>Medición de Referencia al paso</t>
  </si>
  <si>
    <t>Sistema de "Busteo" o Booster</t>
  </si>
  <si>
    <t>Sistema de Bombeo Principal</t>
  </si>
  <si>
    <t>Sistema de despacho de producto</t>
  </si>
  <si>
    <t>SISTEMAS AUXILIARES</t>
  </si>
  <si>
    <t>Sistema de recuperación de Producto</t>
  </si>
  <si>
    <t>Sistema de Aguas Aceitosas</t>
  </si>
  <si>
    <t>Sistema contraincendio</t>
  </si>
  <si>
    <t>2.3.1</t>
  </si>
  <si>
    <t>Unidades Contraincendios (Bombas)</t>
  </si>
  <si>
    <t xml:space="preserve"> 2.3.(2-6)</t>
  </si>
  <si>
    <t>Detección y Alarma (Fire &amp; Gas)</t>
  </si>
  <si>
    <t>2.3.(7-8)</t>
  </si>
  <si>
    <t>Extinción Gas y Espuma</t>
  </si>
  <si>
    <t>OTROS SISTEMAS</t>
  </si>
  <si>
    <t>COSTO $</t>
  </si>
  <si>
    <t>2.5.1</t>
  </si>
  <si>
    <t>Subestación Eléctrica</t>
  </si>
  <si>
    <t>2.5.2</t>
  </si>
  <si>
    <t>Transformador de Alta Tensión a 6,3 KV</t>
  </si>
  <si>
    <t>2.5.3</t>
  </si>
  <si>
    <t>Transformador de 6,3 KV a 480 V</t>
  </si>
  <si>
    <t>2.5.4</t>
  </si>
  <si>
    <t>Transformador de 480 V a 220V</t>
  </si>
  <si>
    <t>2.5.5</t>
  </si>
  <si>
    <t>Transformador de 480 V a 110V</t>
  </si>
  <si>
    <t>COSTOS TOTALES MATERIALES Y EQUIPOS POR TIPO DE ESTACIÓN</t>
  </si>
  <si>
    <t>COSTO DE MONTAJE USD $</t>
  </si>
  <si>
    <t>PESO MATERIAL Y EQUIPOS (KG)</t>
  </si>
  <si>
    <t>COSTO DE EDIFICACIONES USD$</t>
  </si>
  <si>
    <t>2.5.6</t>
  </si>
  <si>
    <t>CCM (Cuarto de Control de Motores)</t>
  </si>
  <si>
    <t>2.5.7</t>
  </si>
  <si>
    <t>Cableado de Potencia</t>
  </si>
  <si>
    <t>TIPO ESTACIÓN</t>
  </si>
  <si>
    <t>MATERIALES USD $</t>
  </si>
  <si>
    <t>EQUIPOS USD $</t>
  </si>
  <si>
    <t>2.5.8</t>
  </si>
  <si>
    <t>Sistema de Iluminación</t>
  </si>
  <si>
    <t>2.5.9</t>
  </si>
  <si>
    <t>Sistema Generación de Emergencia</t>
  </si>
  <si>
    <t>2.5.10</t>
  </si>
  <si>
    <t xml:space="preserve">UPS </t>
  </si>
  <si>
    <t>2.5.11</t>
  </si>
  <si>
    <t xml:space="preserve">SIPRA/SPT </t>
  </si>
  <si>
    <t>Sistema de control</t>
  </si>
  <si>
    <t>2.6.1</t>
  </si>
  <si>
    <t>DCS - Sistema de Control Distribuido (Sala Control)</t>
  </si>
  <si>
    <t>2.6.2</t>
  </si>
  <si>
    <t>Cableado de Instrumentación y Control</t>
  </si>
  <si>
    <t>2.6.3</t>
  </si>
  <si>
    <t>Sistema SCADA</t>
  </si>
  <si>
    <t>2.6.4</t>
  </si>
  <si>
    <t>Sistema de parada de emergencia (Emergency shutdown-ESD)</t>
  </si>
  <si>
    <t>Sistema de seguridad/vigilancia</t>
  </si>
  <si>
    <t>2.7.1</t>
  </si>
  <si>
    <t>Cerramiento perimetral</t>
  </si>
  <si>
    <t>2.7.2</t>
  </si>
  <si>
    <t>Portería y puestos de vigilancia (Garitas)</t>
  </si>
  <si>
    <t>2.7.3</t>
  </si>
  <si>
    <t>Sistema Detección de Intrusos</t>
  </si>
  <si>
    <t>2.7.4</t>
  </si>
  <si>
    <t>Circuito cerrado de televisión (CCTV)</t>
  </si>
  <si>
    <t>2.7.5</t>
  </si>
  <si>
    <t>Instalaciones Militares</t>
  </si>
  <si>
    <t>2.8.1</t>
  </si>
  <si>
    <t>Aguas lluvias</t>
  </si>
  <si>
    <t>2.8.2</t>
  </si>
  <si>
    <t>Aguas residuales - PTAR</t>
  </si>
  <si>
    <t>Servicios Industriales</t>
  </si>
  <si>
    <t>2.9.1</t>
  </si>
  <si>
    <t>Aire Comprimido</t>
  </si>
  <si>
    <t>2.9.2</t>
  </si>
  <si>
    <t>Agua Industrial</t>
  </si>
  <si>
    <t>2.9.3</t>
  </si>
  <si>
    <t>Combustible Diesel</t>
  </si>
  <si>
    <t>INFRAESTRUCTURA DE SOPORTE</t>
  </si>
  <si>
    <t>3.1.1</t>
  </si>
  <si>
    <t>Shelter Bombas Principales</t>
  </si>
  <si>
    <t>3.1.2</t>
  </si>
  <si>
    <t>Shelter Bombas Booster</t>
  </si>
  <si>
    <t>3.1.3</t>
  </si>
  <si>
    <t>Shelter Sistema Contraincendio</t>
  </si>
  <si>
    <t>3.1.4</t>
  </si>
  <si>
    <t>Shelter de Comunicaciones</t>
  </si>
  <si>
    <t>3.1.5</t>
  </si>
  <si>
    <t>Shelter Sistema Generación de Emergencia</t>
  </si>
  <si>
    <t>3.1.6</t>
  </si>
  <si>
    <t>Shelter Sistema Aire Comprimido</t>
  </si>
  <si>
    <t>3.1.7</t>
  </si>
  <si>
    <t>3.1.8</t>
  </si>
  <si>
    <t>Sala de Operaciones</t>
  </si>
  <si>
    <t>3.1.9</t>
  </si>
  <si>
    <t>3.1.10</t>
  </si>
  <si>
    <t>3.1.11</t>
  </si>
  <si>
    <t>Bodegas</t>
  </si>
  <si>
    <t>3.1.12</t>
  </si>
  <si>
    <t>3.2.1</t>
  </si>
  <si>
    <t>Vias internas</t>
  </si>
  <si>
    <t>3.2.2</t>
  </si>
  <si>
    <t>Vias de acceso</t>
  </si>
  <si>
    <t>Paisajismo y Urbanismo</t>
  </si>
  <si>
    <t>3.3.1</t>
  </si>
  <si>
    <t>Reconformación de terreno, empradización, engravillado, caminos peatonales</t>
  </si>
  <si>
    <t>Obras de protección geotecnica y ambiental</t>
  </si>
  <si>
    <t>3.4.1</t>
  </si>
  <si>
    <t>Estabilización de taludes, manejo de escorrentías</t>
  </si>
  <si>
    <t>Obras de desmantelamiento de Unidades Existentes</t>
  </si>
  <si>
    <t>3.5.1</t>
  </si>
  <si>
    <t>Desmantelamiento Unidades Principales</t>
  </si>
  <si>
    <t>3.5.2</t>
  </si>
  <si>
    <t>Desmantelamiento Unidades Booster</t>
  </si>
  <si>
    <t>Obra Civil</t>
  </si>
  <si>
    <t>1.3.2</t>
  </si>
  <si>
    <t>Tanque de Relevo 10.000 Barriles</t>
  </si>
  <si>
    <t>1.3.3</t>
  </si>
  <si>
    <t>Sistema de Tea</t>
  </si>
  <si>
    <t>1.7</t>
  </si>
  <si>
    <t>1.10.2</t>
  </si>
  <si>
    <t>Tanque de Agua Contraincendios, Capacidad 20,000 Barriles</t>
  </si>
  <si>
    <t>DISTRIBUCION POR TIPO DE INGENIERIA</t>
  </si>
  <si>
    <t>PORCENTAJES GERENCIA E INTERVENTORIA PARA ESTACIONES</t>
  </si>
  <si>
    <t>PORCENTAJES INGENIERIA MODELO DE ESTACIONES</t>
  </si>
  <si>
    <t>COSTO POR RANGO
(USD)</t>
  </si>
  <si>
    <t>BÁSICA</t>
  </si>
  <si>
    <t>DETALLADA</t>
  </si>
  <si>
    <t>% INTERVENTORIA</t>
  </si>
  <si>
    <t>% GERENCIA</t>
  </si>
  <si>
    <t>% TOTAL</t>
  </si>
  <si>
    <t>ID</t>
  </si>
  <si>
    <t>DESCRIPCION</t>
  </si>
  <si>
    <t>VALOR</t>
  </si>
  <si>
    <t>Región</t>
  </si>
  <si>
    <t>Factor planta 
(const. y mont.)</t>
  </si>
  <si>
    <t>METRICA EN $/TON-KM</t>
  </si>
  <si>
    <t>DISTANCIA PROMEDIO (KM)</t>
  </si>
  <si>
    <t>USD$ POR TONELADA</t>
  </si>
  <si>
    <t>USD / KLG</t>
  </si>
  <si>
    <t>Calificación afectación por regiones</t>
  </si>
  <si>
    <t>COSTO POR RANGO
(MUSD)</t>
  </si>
  <si>
    <t>%
ESTACION</t>
  </si>
  <si>
    <t>Aplicar factores</t>
  </si>
  <si>
    <t>&gt;= MÍNIMO</t>
  </si>
  <si>
    <t>&lt; MÁXIMO</t>
  </si>
  <si>
    <t>lb/ft a Kg/m</t>
  </si>
  <si>
    <t>Convierte piezas de libras/pies a kilogramos/metro.</t>
  </si>
  <si>
    <t>&lt;30</t>
  </si>
  <si>
    <t>lb a Kg</t>
  </si>
  <si>
    <t>Convierte libras a kilogramos</t>
  </si>
  <si>
    <t>Magdalena medio</t>
  </si>
  <si>
    <t>&gt;30 &lt;50</t>
  </si>
  <si>
    <t>kg</t>
  </si>
  <si>
    <t>Convierte kg a kg (por facilidad de modelado y formulación)</t>
  </si>
  <si>
    <t>Centro occidente</t>
  </si>
  <si>
    <t>&gt;50 &lt;100</t>
  </si>
  <si>
    <t>Porcentaje estimado de soportes metálicos</t>
  </si>
  <si>
    <t>Sur</t>
  </si>
  <si>
    <t>&gt;100</t>
  </si>
  <si>
    <t>fac_piping</t>
  </si>
  <si>
    <t>Porcentaje estimado de peso de la tubería con base en el caudal de operación de la estación</t>
  </si>
  <si>
    <t>Llanos – Nariño</t>
  </si>
  <si>
    <t>trm_base</t>
  </si>
  <si>
    <t>Tasa representativa del mercado promedio del mes base, Dic 2024</t>
  </si>
  <si>
    <t>Acero_base</t>
  </si>
  <si>
    <t>PPI de acero en Varilla, laminas y estructuras,dic 2024</t>
  </si>
  <si>
    <t>ipc</t>
  </si>
  <si>
    <t>Indice de precios al consumidor del año de cálculo</t>
  </si>
  <si>
    <t>ppi_usa_bom_ind</t>
  </si>
  <si>
    <t>Indice de precios al productor de bombas industriales en USA.</t>
  </si>
  <si>
    <t>ppi_usa_filt</t>
  </si>
  <si>
    <t>Indice de precios al productor de filtros en USA del año de cálculo.</t>
  </si>
  <si>
    <t>ppi_usa_medidores</t>
  </si>
  <si>
    <t>Indice de precios al productor de medidores para gases y liquidos en USA del año de cálculo.</t>
  </si>
  <si>
    <t>fac_regionalizacion</t>
  </si>
  <si>
    <t>Factor de ajuste para la región donde se realizará la construcción y montaje de la estación de bombeo.</t>
  </si>
  <si>
    <t>fac_transporte</t>
  </si>
  <si>
    <t>Factor de ajuste para la región donde se realizará la construcción y montaje de la estación de bombeo. USD$/klg</t>
  </si>
  <si>
    <t>Costo unitario de un kilogramo de soportería metallica en USD $indexado</t>
  </si>
  <si>
    <t>fac_iva</t>
  </si>
  <si>
    <t>Factor para el cálculo del iva sobre materiales, costrucción y montaje.</t>
  </si>
  <si>
    <t>trm</t>
  </si>
  <si>
    <t>Tasa representativa del mercado para la fecha de cálculo</t>
  </si>
  <si>
    <t>Acero</t>
  </si>
  <si>
    <t>PPI de acero en Varilla, laminas y estructuras,</t>
  </si>
  <si>
    <t>ipc_base</t>
  </si>
  <si>
    <t>Indice de precios al consumidor del año 2024, diciembre</t>
  </si>
  <si>
    <t>ppi_usa_bom_ind_base</t>
  </si>
  <si>
    <t>Indice de precios al productor de medidores para gases y liquidos en USA.</t>
  </si>
  <si>
    <t>ppi_usa_filt_base</t>
  </si>
  <si>
    <t>Indice de precios al productor de filtros en USA del año base.</t>
  </si>
  <si>
    <t>ppi_usa_medidores_base</t>
  </si>
  <si>
    <t>Indice de precios al productor de medidores para gases y liquidos en USA del año base.</t>
  </si>
  <si>
    <t>tip_estacion</t>
  </si>
  <si>
    <t>Tipo estación a estimar.</t>
  </si>
  <si>
    <t>ppi_usa_gen_pot_base</t>
  </si>
  <si>
    <t>Indice de precios al productor de generadores electricos de potencia.</t>
  </si>
  <si>
    <t>ppi_usa_trans_pot_base</t>
  </si>
  <si>
    <t>Indice de precios al productor de transformadores electricos de potencia.</t>
  </si>
  <si>
    <t>ppi_usa_inst_control_base</t>
  </si>
  <si>
    <t>Indice de precios al productor de instrumentos de control.</t>
  </si>
  <si>
    <t>ppi_usa_inst_tableros_base</t>
  </si>
  <si>
    <t>Indice de precios al productor de tableros y equipos  de control.</t>
  </si>
  <si>
    <t>ppi_usa_gen_pot</t>
  </si>
  <si>
    <t>Indice  de precios al productor de generadores electricos de potencia del año de cálculo.</t>
  </si>
  <si>
    <t>ppi_usa_trans_pot</t>
  </si>
  <si>
    <t>Indice de precios al productor de transformadores electricos de potencia del año de cálculo.</t>
  </si>
  <si>
    <t>ppi_usa_inst_control</t>
  </si>
  <si>
    <t>Indice de precios al productor de instrumentos de control del año de cálculo.</t>
  </si>
  <si>
    <t>ppi_usa_inst_tablero</t>
  </si>
  <si>
    <t>Indice de precios al productor de tableros y equipos  de control del año de cálculo.</t>
  </si>
  <si>
    <t>fac_mano_obra</t>
  </si>
  <si>
    <t>Factor de ajuste a la mano de obra para construcción y montaje.</t>
  </si>
  <si>
    <t>fac_arancel</t>
  </si>
  <si>
    <t>Tasa de arancel adicional sobre el valor</t>
  </si>
  <si>
    <t>fac_des_arancel_rotativos</t>
  </si>
  <si>
    <t>Factor descuento y ajuste de arancel, iva e incoterms aplicado a equipos rotativos importados.</t>
  </si>
  <si>
    <t>fac_des_arancel_materiales</t>
  </si>
  <si>
    <t>Factor descuento y ajuste de arancel, iva e incoterms aplicado materiales y equipos impoertados.</t>
  </si>
  <si>
    <t>fac_logistica_importacion_general</t>
  </si>
  <si>
    <t>Factor de ajuste al costo de las importaciones de tipo general.</t>
  </si>
  <si>
    <t>fac_logistica_importacion_especial</t>
  </si>
  <si>
    <t>Factor de ajuste al costo de las importaciones de tipo especial.</t>
  </si>
  <si>
    <t>ESTIMACIÓN PIPING  DIAMETRO Y METRICA</t>
  </si>
  <si>
    <t>CAPACIDAD OPERATIVA (KBD)</t>
  </si>
  <si>
    <t>DIAMETRO TUBERIA (PULGADAS)</t>
  </si>
  <si>
    <t>METRICA PIPING POR PESO</t>
  </si>
  <si>
    <t>MODELO CAUDAL - FACTOR DE PIPING</t>
  </si>
  <si>
    <t>FLUJO A MANEJAR
KBPD</t>
  </si>
  <si>
    <t>DIAMETRO TUBERIA
PULGADAS</t>
  </si>
  <si>
    <t>PESO INDICATIVO (KG)</t>
  </si>
  <si>
    <t>&gt; Desde</t>
  </si>
  <si>
    <t>&lt;= Hasta</t>
  </si>
  <si>
    <t>Sistema centrífugo</t>
  </si>
  <si>
    <t>ESTIMACIÓN POTENCIA (HP) Y PRECIO DE LA BOMBAS</t>
  </si>
  <si>
    <t>ESTIMACIÓN POTENCIA (HP) Y PRECIO DE LAS BOMBAS REPOTENCIACIÓN</t>
  </si>
  <si>
    <t>POTENCIA OPERATIVA TOTAL ESTACION A ESTIMAR (HP)</t>
  </si>
  <si>
    <t>FACTOR HP BOOSTER</t>
  </si>
  <si>
    <t>FACTOR HP PRINCIPAL</t>
  </si>
  <si>
    <t>BOOSTER</t>
  </si>
  <si>
    <t>PRINCIPAL</t>
  </si>
  <si>
    <t>BOMBA</t>
  </si>
  <si>
    <t>POTENCIA ESTIMADA CADA BOMBA(HP)</t>
  </si>
  <si>
    <t>CANTIDAD</t>
  </si>
  <si>
    <t>$USD/UNI</t>
  </si>
  <si>
    <t>$USD Total</t>
  </si>
  <si>
    <t>Kg/UNI</t>
  </si>
  <si>
    <t>RELACIÓN POTENCIA PESO BOMBAS PRINCIPALES
(@ 3600 RPM)</t>
  </si>
  <si>
    <t>RELACIÓN POTENCIA PESO
BOMBAS BOOSTER 
(@ 3600 RPM)</t>
  </si>
  <si>
    <t>POTENCIA EN HP</t>
  </si>
  <si>
    <t>PRECIO</t>
  </si>
  <si>
    <t>PESO</t>
  </si>
  <si>
    <t>Regresion</t>
  </si>
  <si>
    <t>Regression</t>
  </si>
  <si>
    <t>Regresión</t>
  </si>
  <si>
    <t>Potencial</t>
  </si>
  <si>
    <t>Regression Model</t>
  </si>
  <si>
    <t>Linear</t>
  </si>
  <si>
    <t>Coeficiente</t>
  </si>
  <si>
    <t>R^2</t>
  </si>
  <si>
    <t>Exponente</t>
  </si>
  <si>
    <t>Standard Error</t>
  </si>
  <si>
    <t>Slope</t>
  </si>
  <si>
    <t>Error estandar</t>
  </si>
  <si>
    <t>Intercept</t>
  </si>
  <si>
    <t>Capacidad (HP)</t>
  </si>
  <si>
    <t>PRECIO CENTRIFUGAS</t>
  </si>
  <si>
    <t>SUMINISTRO</t>
  </si>
  <si>
    <t>TIPO</t>
  </si>
  <si>
    <t>UNIDAD</t>
  </si>
  <si>
    <t>SCHEDULLE</t>
  </si>
  <si>
    <t>ANSI</t>
  </si>
  <si>
    <t>PESO UNITARIO REFERENCIA (Kg)</t>
  </si>
  <si>
    <t>UNIDAD MEDIDA</t>
  </si>
  <si>
    <t>PESO AJUSTADO FACTOR PIPING (Kg)</t>
  </si>
  <si>
    <t>$USD/Kg  2022</t>
  </si>
  <si>
    <t>ORIGEN</t>
  </si>
  <si>
    <t>Tubería Acero al Carbono ASTM A53 Gr. B 0,375 x 20''</t>
  </si>
  <si>
    <t>Metro lineal</t>
  </si>
  <si>
    <t>Kilogramo/metro</t>
  </si>
  <si>
    <t>IMPORTADO</t>
  </si>
  <si>
    <t>Tubería Acero al Carbono ASTM A53 Gr. B 0,375 x 16''</t>
  </si>
  <si>
    <t>Tubería Acero al Carbono ASTM A53 Gr. B 0,237 x 4''</t>
  </si>
  <si>
    <t>Tubería Acero al Carbono ASTM A53 Gr. B 0,154 x 2''</t>
  </si>
  <si>
    <t>Codo 90o A234 0,375 x 20''</t>
  </si>
  <si>
    <t>Unidad</t>
  </si>
  <si>
    <t>STD</t>
  </si>
  <si>
    <t>Kilogramo</t>
  </si>
  <si>
    <t>Codo 90o A234 0,375 x 16''</t>
  </si>
  <si>
    <t>Codo 90o A234 0,237 x 4''</t>
  </si>
  <si>
    <t>Codo 90o A234 0,154 x 2''</t>
  </si>
  <si>
    <t>Brida Welding Neck, Rise Face A105  x 20'' 150#</t>
  </si>
  <si>
    <t>150#</t>
  </si>
  <si>
    <t>Brida Welding Neck, Rise Face A105  x 16'' 150#</t>
  </si>
  <si>
    <t>Brida Welding Neck, Rise Face A105  x 4'' 150#</t>
  </si>
  <si>
    <t>Brida Welding Neck, Rise Face A105  x 2'' 150#</t>
  </si>
  <si>
    <t>Brida Ciega, Rise Face A105  x 20'' 150#</t>
  </si>
  <si>
    <t>Brida Ciega, Rise Face A105  x 16'' 150#</t>
  </si>
  <si>
    <t>Tee Recta A234 0,375 x 20''</t>
  </si>
  <si>
    <t>Tee Recta A234 0,375 x 16''</t>
  </si>
  <si>
    <t>Tee Reduccion A234 0,375 x 20x 16''</t>
  </si>
  <si>
    <t>Esparragos ASTM A193 Gr. B7 + Tuercas A194 2H  x 1 1/8 x 6,25''</t>
  </si>
  <si>
    <t>Junta</t>
  </si>
  <si>
    <t>Esparragos ASTM A193 Gr. B7 + Tuercas A194 2H  x 1 x 5,5''</t>
  </si>
  <si>
    <t>Empaques espirometalicos   x 20''</t>
  </si>
  <si>
    <t>Empaques espirometalicos   x 16''</t>
  </si>
  <si>
    <t>Accesorios menores de tubería (D&lt;2") – Multiple tanques  x Varios''</t>
  </si>
  <si>
    <t>Global</t>
  </si>
  <si>
    <t>NACIONAL</t>
  </si>
  <si>
    <t>Valvula de Bola Flanchada Rise Face, paso completo  x 20'' 150#</t>
  </si>
  <si>
    <t>Valvula de Bola Flanchada Rise Face, paso completo  x 16'' 150#</t>
  </si>
  <si>
    <t>Valvula de compuerta WE paso completo  x 4'' 150#</t>
  </si>
  <si>
    <t>Valvula de compuerta WE paso completo  x 2'' 150#</t>
  </si>
  <si>
    <t>Actuadores Electricos – Multiple Tanques  x ''</t>
  </si>
  <si>
    <t>Tubería Acero al Carbono ASTM A53 Gr. B 0,375 x 12''</t>
  </si>
  <si>
    <t>Tubería Acero al Carbono ASTM A53 Gr. B 0,365 x 10''</t>
  </si>
  <si>
    <t>Tubería Acero al Carbono ASTM A53 Gr. B 0,322 x 8''</t>
  </si>
  <si>
    <t>Codo 90o A234 0,375 x 12''</t>
  </si>
  <si>
    <t>Codo 90o A235 0,365 x 10''</t>
  </si>
  <si>
    <t>Codo 90o A235 0,322 x 8''</t>
  </si>
  <si>
    <t>Brida Welding Neck, Rise Face A105  x 12'' 300#</t>
  </si>
  <si>
    <t>300#</t>
  </si>
  <si>
    <t>Brida Welding Neck, Rise Face A105  x 10'' 150#</t>
  </si>
  <si>
    <t>Brida Welding Neck, Rise Face A105  x 8'' 300#</t>
  </si>
  <si>
    <t>Brida Ciega, Rise Face A105  x 12'' 300#</t>
  </si>
  <si>
    <t>Tee Recta A 234  0,375 x 12''</t>
  </si>
  <si>
    <t>Tee Reduccion A234 0,375 x 16 x 10''</t>
  </si>
  <si>
    <t>Tee Reduccion A234 0,375 x 12 x 8''</t>
  </si>
  <si>
    <t>Esparragos ASTM A193 Gr. B7 + Tuercas A194 2H  x 1 x 5 1/2''</t>
  </si>
  <si>
    <t>Esparragos ASTM A193 Gr. B7 + Tuercas A194 2H  x 1 1/8 x 6 ¾''</t>
  </si>
  <si>
    <t>Esparragos ASTM A193 Gr. B7 + Tuercas A194 2H  x 7/8 x 4 ¾''</t>
  </si>
  <si>
    <t>Esparragos ASTM A193 Gr. B7 + Tuercas A194 2H  x 7/8 x 5 1/2''</t>
  </si>
  <si>
    <t>Empaques espirometalicos   x 12''</t>
  </si>
  <si>
    <t>Empaques espirometalicos   x 10''</t>
  </si>
  <si>
    <t>Empaques espirometalicos   x 8''</t>
  </si>
  <si>
    <t>Accesorios menores de tubería (D&lt;2") BOMBAS BOSTER x Varios''</t>
  </si>
  <si>
    <t>Valvula de Bola Flanchada Rise Face, paso completo  x 12'' 300#</t>
  </si>
  <si>
    <t>Valvula de Bola Flanchada Rise Face, paso completo  x 10'' 150#</t>
  </si>
  <si>
    <t>Valvula de Bola Flanchada Rise Face, paso completo  x 8'' 300#</t>
  </si>
  <si>
    <t>Valvula de Cheque Flanchada Rise Face, paso completo  x 8'' 300#</t>
  </si>
  <si>
    <t>Actuadores Electricos – BOMBAS BOSTER   x ''</t>
  </si>
  <si>
    <t>Codo 90o A234 0,365 x 10''</t>
  </si>
  <si>
    <t>Brida Welding Neck, Rise Face A105  x 10'' 300#</t>
  </si>
  <si>
    <t>Brida Welding Neck, Rise Face A105  x 6'' 300#</t>
  </si>
  <si>
    <t xml:space="preserve">Brida Welding Neck, Rise Face A105  x 4'' 300# </t>
  </si>
  <si>
    <t>Brida Welding Neck, Rise Face A105  x 2'' 300#</t>
  </si>
  <si>
    <t>Tee Recta A234 0,365 x 10''</t>
  </si>
  <si>
    <t>Tee Reduccion A234 0,375 x 0,280 x 10 x 6''</t>
  </si>
  <si>
    <t>Reduccion concentrica  0,375 x 12 x 10''</t>
  </si>
  <si>
    <t xml:space="preserve">Esparragos ASTM A193 Gr. B7 + Tuercas A194 2H  x 1 x 6 1/4'' </t>
  </si>
  <si>
    <t>Esparragos ASTM A193 Gr. B7 + Tuercas A194 2H  x 3/4 x 5''</t>
  </si>
  <si>
    <t>Empaques espirometalicos   x 6'' 300#</t>
  </si>
  <si>
    <t>Accesorios menores de tubería (D&lt;2")  x Varios''</t>
  </si>
  <si>
    <t>Valvula de Bola Flanchada Rise Face, paso completo  x 6'' 300#</t>
  </si>
  <si>
    <t>Actuadores Electricos filtración</t>
  </si>
  <si>
    <t>Filtro Vertical tipo Canasta con tapa de acople rápido, para flujo de 2,500 BPH, bridado en entrada y salida en 10" x ANSI 300#, Raised Face 10x10"</t>
  </si>
  <si>
    <t xml:space="preserve">Codo 90o A234 0,322 x 8'' </t>
  </si>
  <si>
    <t xml:space="preserve">Tee Recta A234 0,322 x 8'' </t>
  </si>
  <si>
    <t xml:space="preserve">Reduccion concentrica  0,322 x 12 x 8'' </t>
  </si>
  <si>
    <t>Esparragos ASTM A193 Gr. B7 + Tuercas A194 2H  x 7/8 x 5 1/2'' 300#</t>
  </si>
  <si>
    <t>Empaques espirometalicos   x 8'' 300#</t>
  </si>
  <si>
    <t>Accesorios menores de tubería (D&lt;2") (Medición)  x Varios</t>
  </si>
  <si>
    <t>Valvula de Tapón Flanchada Rise Face, paso completo  x 8'' 300#</t>
  </si>
  <si>
    <t>Actuadores Electricos Medición</t>
  </si>
  <si>
    <t>Filtro para medidor, para flujo de 2,500 BPH, bridado en entrada y salida en 8" x ANSI 300#, Raised Face 8 x 8"</t>
  </si>
  <si>
    <t>Enderezador de flujo para medidor tipo turbina, 8" x ANSI 300# Bridado ambos extremos RF 8 x 8"</t>
  </si>
  <si>
    <t>Medidor de turbina 8" x ANSI 300# R, para 2500 BPH 8 x 8"</t>
  </si>
  <si>
    <t xml:space="preserve">Computadores de Flujo (software + hardware), incluye comunicación con sala de control y PC </t>
  </si>
  <si>
    <t>Tubería Acero al Carbono API 5LX 60 0,500 x 8''</t>
  </si>
  <si>
    <t>XS</t>
  </si>
  <si>
    <t xml:space="preserve">Tubería Acero al Carbono API 5LX 60 0,500 x 12'' </t>
  </si>
  <si>
    <t xml:space="preserve">Tubería Acero al Carbono ASTM A53 Gr. B 0,337 x 4'' </t>
  </si>
  <si>
    <t xml:space="preserve">Tubería Acero al Carbono ASTM A53 Gr. B 0,218 x 2'' </t>
  </si>
  <si>
    <t xml:space="preserve">Codo 90o A234 0,500 x 8'' </t>
  </si>
  <si>
    <t xml:space="preserve">Codo 90o A234 0,337 x 4'' </t>
  </si>
  <si>
    <t xml:space="preserve">Codo 90o A234 0,218 x 2'' </t>
  </si>
  <si>
    <t>Brida Welding Neck, Rise Face A105  x 12'' 900#</t>
  </si>
  <si>
    <t>900#</t>
  </si>
  <si>
    <t>Brida Welding Neck, Rise Face A105  x 8'' 900#</t>
  </si>
  <si>
    <t>Brida Welding Neck, Rise Face A105  x 4'' 900#</t>
  </si>
  <si>
    <t>Brida Welding Neck, Rise Face A105  x 2'' 900#</t>
  </si>
  <si>
    <t>Brida Ciega, Rise Face A105  x 12'' 900#</t>
  </si>
  <si>
    <t xml:space="preserve">Tee Recta A234 0,375 x 12'' </t>
  </si>
  <si>
    <t xml:space="preserve">Tee Recta A234 0,500 x 12'' </t>
  </si>
  <si>
    <t xml:space="preserve">Tee Reduccion A234 0,375 x 12 x 10'' </t>
  </si>
  <si>
    <t xml:space="preserve">Tee Reduccion A234 0,500 x 12 x 8'' </t>
  </si>
  <si>
    <t>Esparragos ASTM A193 Gr. B7 + Tuercas A194 2H  x 1 3/8 x 10'' 900#</t>
  </si>
  <si>
    <t>Esparragos ASTM A193 Gr. B7 + Tuercas A194 2H  x 1 x 6 1/4'' 300#</t>
  </si>
  <si>
    <t>Esparragos ASTM A193 Gr. B7 + Tuercas A194 2H  x 1 3/8 x 8 3/4'' 900#</t>
  </si>
  <si>
    <t>Esparragos ASTM A193 Gr. B7 + Tuercas A194 2H  x 7/8 x 4 3/4'' 150#</t>
  </si>
  <si>
    <t>Esparragos ASTM A193 Gr. B7 + Tuercas A194 2H  x 7/8 x 5 1/2'' 150#</t>
  </si>
  <si>
    <t>Empaques espirometalicos   x Varios'' 300# (BOMBAS PRINCIPALES)</t>
  </si>
  <si>
    <t>Empaques espirometalicos   x Varios'' 900#</t>
  </si>
  <si>
    <t>Valvula de Bola Flanchada Rise Face, paso completo  x 12'' 900#</t>
  </si>
  <si>
    <t>Valvula de Bola Flanchada Rise Face, paso completo  x 10'' 300#</t>
  </si>
  <si>
    <t>Valvula de Bola Flanchada Rise Face, paso completo  x 8'' 900#</t>
  </si>
  <si>
    <t>Valvula de Cheque Flanchada Rise Face, paso completo  x 8'' 900#</t>
  </si>
  <si>
    <t>Actuadores Electricos Bombas</t>
  </si>
  <si>
    <t xml:space="preserve">Tubería Acero al Carbono API 5LX 60 0,432 x 6'' </t>
  </si>
  <si>
    <t xml:space="preserve">Tubería Acero al Carbono ASTM A53 Gr. B 0,500 x 8'' </t>
  </si>
  <si>
    <t xml:space="preserve">Tubería Acero al Carbono ASTM A53 Gr. B 0,280 x 6'' </t>
  </si>
  <si>
    <t xml:space="preserve">Codo 90o A234 0,500 x 12'' </t>
  </si>
  <si>
    <t xml:space="preserve">Codo 90o A234 0,432 x 6'' </t>
  </si>
  <si>
    <t xml:space="preserve">Codo 90o A234 0,280 x 6'' </t>
  </si>
  <si>
    <t>Brida Welding Neck, Rise Face A105  x 6'' 900#</t>
  </si>
  <si>
    <t>Brida Welding Neck, Rise Face A105  x 8'' 150#</t>
  </si>
  <si>
    <t xml:space="preserve">Tee Reduccion A234 0,500 x 12 x 6'' </t>
  </si>
  <si>
    <t>Esparragos ASTM A193 Gr. B7 + Tuercas A194 2H  x 1 1/8 x 7 3/4'' 900#</t>
  </si>
  <si>
    <t>Esparragos ASTM A193 Gr. B7 + Tuercas A194 2H  x 3/4 x 5'' 300#</t>
  </si>
  <si>
    <t>Esparragos ASTM A193 Gr. B7 + Tuercas A194 2H  x 3/4 x 4 1/4'' 150# (SIS. RECU. DE PRODUCTO)</t>
  </si>
  <si>
    <t>Esparragos ASTM A193 Gr. B7 + Tuercas A194 2H  x 1 1/8 x 6 3/4'' 900#</t>
  </si>
  <si>
    <t>Esparragos ASTM A193 Gr. B7 + Tuercas A194 2H  x 7 1/8 x 5 3/4'' 900#</t>
  </si>
  <si>
    <t>Esparragos ASTM A193 Gr. B7 + Tuercas A194 2H  x 5/8 x 3 3/4'' 150#</t>
  </si>
  <si>
    <t>Esparragos ASTM A193 Gr. B7 + Tuercas A194 2H  x 5/8 x 3 1/4'' 150#</t>
  </si>
  <si>
    <t>Empaques espirometalicos   x Varios'' 150# (SUMIDERO)</t>
  </si>
  <si>
    <t>Valvula de Alivio 6 x 900# - 8 x 150#  x 6 x 8'' 900# x 150#</t>
  </si>
  <si>
    <t>900# x 150#</t>
  </si>
  <si>
    <t>Valvula de Compuerta Flanchada Rise Face, paso completo  x 12'' 900#</t>
  </si>
  <si>
    <t>Valvula de Bola Flanchada Rise Face, paso completo  x 6'' 900#</t>
  </si>
  <si>
    <t>Valvula de Cheque Flanchada Rise Face, paso completo  x 6'' 300#</t>
  </si>
  <si>
    <t>Valvula de Bola Flanchada Rise Face, paso completo  x 8'' 150#</t>
  </si>
  <si>
    <t>Actuadores Electricos Despacho Alivio</t>
  </si>
  <si>
    <t>Brida Welding Neck, Rise Face A105  x 6'' 150#</t>
  </si>
  <si>
    <t xml:space="preserve">Tee Recta A234 0,280 x 6'' </t>
  </si>
  <si>
    <t xml:space="preserve">Tee Reduccion A234 0,365 x 10 x 6'' </t>
  </si>
  <si>
    <t>Esparragos ASTM A193 Gr. B7 + Tuercas A194 2H  x 7 1/8 x 4 3/4'' 150#</t>
  </si>
  <si>
    <t>Esparragos ASTM A193 Gr. B7 + Tuercas A194 2H  x 3/4 x 4'' 150#</t>
  </si>
  <si>
    <t>Valvula de Compuerta Flanchada Rise Face, paso completo  x 10'' 150#</t>
  </si>
  <si>
    <t>Valvula de Compuerta Flanchada Rise Face, paso completo  x 6'' 150#</t>
  </si>
  <si>
    <t>Valvula de Bola Flanchada RF, paso completo  x 4'' 150#</t>
  </si>
  <si>
    <t>Actuadores Electricos Sistema Contra Incendios</t>
  </si>
  <si>
    <t>Paquete: Bomba de Agua Contraincendios - Motor Eléctrico - Controlador, montada sobre patín en acero al carbono estructural, Caudal 2,500 GPM @ 180 psi, succión bridada RF 12" x 150#, descarga bridada RF 10" x 150# 10 x 12"</t>
  </si>
  <si>
    <t>Paquete: Bomba de Agua Contraincendios - Motor Diesel - Controlador, montada sobre patín en acero al carbono estructural, Caudal 2,500 GPM @ 180 psi, succión bridada RF 12" x 150#, descarga bridada RF 10" x 150# 10 x 12"</t>
  </si>
  <si>
    <t>Equipo proporcionador de espuma al 3% Y 6% tipo estacionario (fijo), con tanque para concentrado de 1200 galones, montado sobre patín en acero al carbono estructural 6"</t>
  </si>
  <si>
    <t>Monitores de agua contraincendio RF 4" x 150#, con boquilla de caudal graduable @ 250 y 350 GPM 4"</t>
  </si>
  <si>
    <t>Monitores de espuma contraincendio RF 4" x 150#, con boquilla de caudal graduable @ 250 y 350 GPM 4"</t>
  </si>
  <si>
    <t>Base para monitor RF 6" x 150#, con reducción a RF 4" x 150#, con dos salidas de 2 1/2" para conexión de mangueras 6 x 4"</t>
  </si>
  <si>
    <t>Hidrante de columna húmeda bridados RF 6" x 150#, con dos salidas 2 1/2" y una salida para bomberos 6"</t>
  </si>
  <si>
    <t>Bomba Jockey NFPA 20, presión de descarga 190 psi</t>
  </si>
  <si>
    <t>Válvua de Diluvio bridada RF 3" x 150# tipo DV5A 3"</t>
  </si>
  <si>
    <t>Elementos varios de protección contraincendios, tales como: Gabinetes dotados, mangueras, boquillas, extintores, trajes de bombero, etc.</t>
  </si>
  <si>
    <r>
      <rPr>
        <sz val="10"/>
        <color rgb="FF000000"/>
        <rFont val="Calibri"/>
        <family val="2"/>
        <charset val="1"/>
      </rPr>
      <t>Sistema completo de extinción de Gas Inerte tipo INERGEN IG 541 para instalaciones electricas y electrónicas de entre 200 y 300 m</t>
    </r>
    <r>
      <rPr>
        <vertAlign val="superscript"/>
        <sz val="11"/>
        <color rgb="FF000000"/>
        <rFont val="Calibri"/>
        <family val="2"/>
        <charset val="1"/>
      </rPr>
      <t>3</t>
    </r>
  </si>
  <si>
    <t>Central de alarmas (Sistema Fire &amp; Gas)</t>
  </si>
  <si>
    <t>Elementos de Detección: calor, humo, gas, llama</t>
  </si>
  <si>
    <t xml:space="preserve">Tee Recta A234 0,237 x 4'' </t>
  </si>
  <si>
    <t xml:space="preserve">Tee Reduccion A234 0,280 x 6 x 4'' </t>
  </si>
  <si>
    <t xml:space="preserve">Tee Reduccion A234 0,237 x 4 x 2'' </t>
  </si>
  <si>
    <t>Valvula de Compuerta Flanchada Rise Face, paso completo  x 4'' 150#</t>
  </si>
  <si>
    <t>Valvula de Compuerta Flanchada Rise Face, paso completo  x 2'' 150#</t>
  </si>
  <si>
    <t>Tanque de sumidero en Acero al Carbono de 100Bls de Capacidad, en lámina A283 Gr. C, para instalación subterránea, con toma de succión para bomba en 3" x ANSI 150# y Manhole deinspección de 50 x 50 cm.</t>
  </si>
  <si>
    <t>Paquete Bomba - Motor configuración Vertical para evacuación del sumidero; para combustibles liquidos @ 200 GPM - 30 psi. Alimentación del motor 220 V, 60 Hz. Descarga Bridada RF 4" x 150# 4"</t>
  </si>
  <si>
    <t>Esparragos ASTM A193 Gr. B7 + Tuercas A194 2H  x 3/3 x 4'' 150#</t>
  </si>
  <si>
    <t>Separador API completo, estructura en concreto de 3000 psi, barandas y pasarelas en acero estructural, flauta de recolección a foso bomba en tubo de acero 8"; con todos sus aditamentos</t>
  </si>
  <si>
    <t>Paquete Bomba - Motor configuración Vertical para evacuación del separador API; para combustibles liquidos @ 200 GPM - 30 psi. Alimentación del motor 220 V, 60 Hz. Descarga Bridada RF 4" x 150# 4"</t>
  </si>
  <si>
    <t>Equipos Rotativos</t>
  </si>
  <si>
    <t>Paquete Bomba Booster</t>
  </si>
  <si>
    <t>150#/300#</t>
  </si>
  <si>
    <t>Accesorios menores de tubería (D&lt;2") (BOMBAS PRINCIPALES)  x Varios</t>
  </si>
  <si>
    <t>Paquete Bomba Principal</t>
  </si>
  <si>
    <t>300/900</t>
  </si>
  <si>
    <t>Accesorios menores de tubería (D&lt;2") (DESPACHO – ALIVIO)  x Varios</t>
  </si>
  <si>
    <t>Paquete Bomba - Motor configuración horizontal para evacuación del tanque de relevo y la reinyección del producto al sistema; para combustibles liquidos @ 700 GPM - 350 psi. Alimentación del motor 480 V, 60 Hz. Descarga Bridada RF 6" x 300#</t>
  </si>
  <si>
    <t xml:space="preserve">Accesorios menores de tubería (D&lt;2") (SISTEMAS CONTRA INCENDIOS) x Varios'' </t>
  </si>
  <si>
    <t xml:space="preserve">Accesorios menores de tubería (D&lt;2") (SISTEMA CONTRA INCENDIOS) x Varios'' </t>
  </si>
  <si>
    <t xml:space="preserve">Actuadores Electricos (SISTEMAS CONTRA INCENDIOS) </t>
  </si>
  <si>
    <t>Hidrante de columna húmeda bridados RF 6" x 150#, con dos salidas 2 1/2" y una salida para bomberos.</t>
  </si>
  <si>
    <t xml:space="preserve">Accesorios menores de tubería (D&lt;2") (SIST. RECP. PRODUCTO) x Varios'' </t>
  </si>
  <si>
    <t xml:space="preserve">Accesorios menores de tubería (D&lt;2") (SIST. SEPARAC. AGUA-ACEITE)  x Varios'' </t>
  </si>
  <si>
    <t>Empaques espirometalicos   x Varios'' 300# (DESPACHO ALIVIO)</t>
  </si>
  <si>
    <t>Esparragos ASTM A193 Gr. B7 + Tuercas A194 2H  x 3/4 x 4 1/4'' 150# (LINEA DESPACHO)</t>
  </si>
  <si>
    <t>Empaques espirometalicos   x Varios'' 150# (SISTEMA CONTRA INCENDIOS)</t>
  </si>
  <si>
    <t>Empaques espirometalicos   x Varios'' 150# (SISTEMA SEP. AGUA-ACEITE)</t>
  </si>
  <si>
    <t>Empaques espirometalicos   x Varios'' 150# (ALIVIO RELEVO)</t>
  </si>
  <si>
    <t>Accesorios menores de tubería (D&lt;2") (MEDICIÓN DE REFERENCIA)x Varios''</t>
  </si>
  <si>
    <t>Actuadores Electricos – Medición referencia de paso  x ''</t>
  </si>
  <si>
    <t>Medidor ultrasónico de fluídos tipo carrete (intrusivo), 8" x 300# con capacidad para 5,000 BPH</t>
  </si>
  <si>
    <t>Reduccion concentrica  0,375 x 12 x 6''</t>
  </si>
  <si>
    <t>Accesorios menores de tubería (D&lt;2") (CONTROL DE PRESION)x Varios''</t>
  </si>
  <si>
    <t>Valvula de Compuerta Flanchada Rise Face, paso completo  x 12'' 300#</t>
  </si>
  <si>
    <t>Valvula de compuerta WE paso completo  x 6'' 300#</t>
  </si>
  <si>
    <t>Actuadores Electricos – Control de presión  x ''</t>
  </si>
  <si>
    <t>FACTOR MÁXIMO DE PONDERACIÓN</t>
  </si>
  <si>
    <t>Para determinar el valor de afectación; introducir el valor de 1 a 5 en la columna H casilla en blanco; para cada uno de los aspectos a evaluar.</t>
  </si>
  <si>
    <t>INCLUYE LOS DEPARTAMENTOS DE ATLANTICO, BOLIVAR, CORDOBA, SUCRE Y MAGDALENA</t>
  </si>
  <si>
    <t>FACILIDAD DE INGRESO A LA ZONA</t>
  </si>
  <si>
    <t xml:space="preserve">Para la evaluación de este aspecto se debe considerar condiciones particulares de las vías de acceso y topografía del terreno </t>
  </si>
  <si>
    <t>No existen dificultades de ingreso a la zona</t>
  </si>
  <si>
    <t>Algunas veces se presentan dificultades.</t>
  </si>
  <si>
    <t xml:space="preserve">Durante algunos periodos se presentan dificultades </t>
  </si>
  <si>
    <t>Generalmente se presentan dificultades</t>
  </si>
  <si>
    <t>Se evidencia dificultad permanente</t>
  </si>
  <si>
    <t>DISPONIBILIDAD DE SERVICIOS LOGISTICOS</t>
  </si>
  <si>
    <t>Se deben considerar disponibilidad y acceso de hoteles, servicios públicos, transporte público, alimentación general</t>
  </si>
  <si>
    <t>Disponibilidad abundante de todos los servicios logisticos</t>
  </si>
  <si>
    <t>Disponibilidad suficiente de todos los servicios logisticos</t>
  </si>
  <si>
    <t>Disponibilidad insuficiente de todos los servicios logisticos</t>
  </si>
  <si>
    <t>Disponibilidad escasa de todos los servicios logisticos</t>
  </si>
  <si>
    <t>No se dispone de recursos logisticos en el área</t>
  </si>
  <si>
    <t>DISPONIBILIDAD DE MATERIALES EN LA ZONA</t>
  </si>
  <si>
    <t>Considerar la disponibilidad de consecución de los materiales en las poblaciones más cercanas al sitio de ejecución de los trabajos.</t>
  </si>
  <si>
    <t>Fácil consecución</t>
  </si>
  <si>
    <t>Algunas limitaciones en la consecución</t>
  </si>
  <si>
    <t>Limitaciones en la consecución</t>
  </si>
  <si>
    <t>Condiciones especiales para la consecución</t>
  </si>
  <si>
    <t>No existe disponibilidad</t>
  </si>
  <si>
    <t>ORDEN PUBLICO</t>
  </si>
  <si>
    <t>Considerar eventos de sabotaje por grupos al margen de la ley</t>
  </si>
  <si>
    <t>No se tiene conocimiento de eventos de orden público</t>
  </si>
  <si>
    <t>Se conoce de eventos menores de orden público</t>
  </si>
  <si>
    <t>Se presentan algunos eventos de orden público</t>
  </si>
  <si>
    <t>Regularmente se presentan eventos de orden público</t>
  </si>
  <si>
    <t>Se consideran altos riesgos de orden público</t>
  </si>
  <si>
    <t>SOCIAL</t>
  </si>
  <si>
    <t>Considerar impactos de las comunidades y grupos de interes en la región</t>
  </si>
  <si>
    <t>No se tiene conocimiento de eventos por las comunidades</t>
  </si>
  <si>
    <t>Se conoce de eventos menores o aislados</t>
  </si>
  <si>
    <t>Se presentan algunos eventos relacionados con las comunidades</t>
  </si>
  <si>
    <t>Regularmente se presentan eventos por las comunidades</t>
  </si>
  <si>
    <t>Se consideran altos riesgos sociales críticos</t>
  </si>
  <si>
    <t>FACTOR APLICABLE A LA PLANTA (SOLO CONSTRUCCION Y MONTAJE)</t>
  </si>
  <si>
    <t>Para determinar el valor de afectación; introducir el valor de 1 a 5 en la columna G casilla en blanco; para cada uno de los aspectos a evaluar.</t>
  </si>
  <si>
    <t>INCLUYE LOS DEPARTAMENTOS DE SANTANDER Y VALLE MEDIO DEL MAGDALENA (DESDE AYACUCHO CESAR HASTA PUERTO SALGAR CUNDINAMARCA)</t>
  </si>
  <si>
    <t>INCLUYE LOS DEPARTAMENTOS DE CUNDINAMARCA, BOYACA, VIEJO CALDAS, ANTIOQUIA Y VALLE DEL CAUCA y CAUCA.</t>
  </si>
  <si>
    <t>INCLUYE LOS DEPARTAMENTOS DE TOLIMA Y HUILA</t>
  </si>
  <si>
    <t>INCLUYE LOS DEPARTAMENTOS DE META, CASANARE SOBRE EL EJE DE ACACIAS – YOPAL Y EL DEPARTAMENTO DE NARIÑO</t>
  </si>
  <si>
    <t>OK</t>
  </si>
  <si>
    <t>TIPO MATERIAL</t>
  </si>
  <si>
    <t>MATERIAL</t>
  </si>
  <si>
    <t>PESO TOTAL (Kg)</t>
  </si>
  <si>
    <t>$TOTAL MATERIALES USD</t>
  </si>
  <si>
    <t>$TOTAL MONTAJE USD</t>
  </si>
  <si>
    <t>Indice actualización equipos</t>
  </si>
  <si>
    <t>Indice actualización montaje</t>
  </si>
  <si>
    <t>$TOTAL MATERIALES USD/kg 2024</t>
  </si>
  <si>
    <t>$TOTAL USD</t>
  </si>
  <si>
    <t>$TOTAL USD/kg 2024</t>
  </si>
  <si>
    <t>$TOTAL MONTAJE USD/kg 2024</t>
  </si>
  <si>
    <t>Elememnto</t>
  </si>
  <si>
    <t>Descripción / Especificación</t>
  </si>
  <si>
    <t>Número de Elementos</t>
  </si>
  <si>
    <t>Cantidad de Obra</t>
  </si>
  <si>
    <t>Precio Unitario USD$</t>
  </si>
  <si>
    <t>Precio Unitario COP$</t>
  </si>
  <si>
    <t>Precio Total USD$</t>
  </si>
  <si>
    <t>Precio Total COP$</t>
  </si>
  <si>
    <t>Indice actualización equipos a pesos</t>
  </si>
  <si>
    <t>Precio Unitario COP$2024</t>
  </si>
  <si>
    <t>1.3.3.1</t>
  </si>
  <si>
    <t>Estructura Metálica</t>
  </si>
  <si>
    <t xml:space="preserve">Torre en acero estructural autosoportada </t>
  </si>
  <si>
    <t>GB</t>
  </si>
  <si>
    <t>1.3.3.2</t>
  </si>
  <si>
    <t>Tanque amortiguador</t>
  </si>
  <si>
    <t>Sistema de amortiguación de presión de disparpos y separación de líquidos</t>
  </si>
  <si>
    <t>EA</t>
  </si>
  <si>
    <t>1.3.3.3</t>
  </si>
  <si>
    <t>Sellos - Tanque de sello</t>
  </si>
  <si>
    <t>Sistema de sellado retrollama y retroflujo</t>
  </si>
  <si>
    <t>1.3.3.4</t>
  </si>
  <si>
    <t>Tip</t>
  </si>
  <si>
    <t>Quemadores de llama abierta con piloto de funcionamiento intermitente</t>
  </si>
  <si>
    <t>1.3.3.5</t>
  </si>
  <si>
    <t>Sistema de Ignición</t>
  </si>
  <si>
    <t>Sistema de ignición de llama eléctrico, con respaldo de baterías</t>
  </si>
  <si>
    <t>1.3.3.6</t>
  </si>
  <si>
    <t>Obra Civil (Cimentación, soportería y Piso)</t>
  </si>
  <si>
    <t>Zapatas y Placa base de la torre en concreto reforzado de 3,000 psi</t>
  </si>
  <si>
    <t>1.3.3.7</t>
  </si>
  <si>
    <t>Instrumentación</t>
  </si>
  <si>
    <t>Sensores de nivel y de temperatura; controles automáticos</t>
  </si>
  <si>
    <t>TOTAL SISTEMA TEA</t>
  </si>
  <si>
    <t>Indice actualización materiales</t>
  </si>
  <si>
    <t>Indice actualización equipos y materiales</t>
  </si>
  <si>
    <t>$TOTAL USD /kg 2024</t>
  </si>
  <si>
    <t>equipos</t>
  </si>
  <si>
    <t>montaje</t>
  </si>
  <si>
    <t>Precio equipos Total USD$</t>
  </si>
  <si>
    <t>Precio equipos Total COP$</t>
  </si>
  <si>
    <t>Montaje COP$</t>
  </si>
  <si>
    <t>1.7.1</t>
  </si>
  <si>
    <t>Patín de Marcación</t>
  </si>
  <si>
    <t>Tanque de almacenamiento de Marcador x 2000 Lts</t>
  </si>
  <si>
    <t>Bomba dosificadora de Marcador</t>
  </si>
  <si>
    <t>Estructuras y elementos de seguridad física del Sistema de Marcación</t>
  </si>
  <si>
    <t xml:space="preserve">Periféricos de montaje y medición </t>
  </si>
  <si>
    <t>TOTAL 1.7 MATERIALES SISTEMA DE MARCACION</t>
  </si>
  <si>
    <t>TOTAL 1.7 SISTEMA DE MARCACION</t>
  </si>
  <si>
    <t>Equipos rotativos</t>
  </si>
  <si>
    <t>ML</t>
  </si>
  <si>
    <t>JT</t>
  </si>
  <si>
    <t>Costo unitario por USD/ kg 2024</t>
  </si>
  <si>
    <t>Costo unitario de montaje por USD/kg2024</t>
  </si>
  <si>
    <t>Indice actualización</t>
  </si>
  <si>
    <t>Costo unitario por kg</t>
  </si>
  <si>
    <t>Costo unitario de montaje por Kg</t>
  </si>
  <si>
    <t>Elemento</t>
  </si>
  <si>
    <t>Sistema de Comunicaciones</t>
  </si>
  <si>
    <t>2.4.1</t>
  </si>
  <si>
    <t>Comunicaciones internas vía radio operacionales</t>
  </si>
  <si>
    <t>Paquete completo de comunicaciones radiales para operación, enlazada con el sistema nacional de comunicaciones de la compañía, con canales dedicados a la operación local; incluye equipos, instalación, arranque y pruebas</t>
  </si>
  <si>
    <t>2.4.2</t>
  </si>
  <si>
    <t>Comunicaciones internas vía teléfono operacionales</t>
  </si>
  <si>
    <t>Paquete completo de líneas telefónicas públicas, fijas y celulares, dedicadas para la operación y comunicación entre estaciones; incluye derechos de conexión y equipos</t>
  </si>
  <si>
    <t>2.4.3</t>
  </si>
  <si>
    <t xml:space="preserve">Comunicaciones externas vía teléfono </t>
  </si>
  <si>
    <t>Paquete completo de líneas telefónicas públicas, fijas y celulares, para comunicación externa con las redes nacionales de comunicaciones con acceso a todos los operadores públicos, para todas las oficinas, salas de reuniones, talleres y campamento militar; con intercomunicación interna de todas las extensiones.  Incluye derechos de conexión y equipos</t>
  </si>
  <si>
    <t>Comunicaciones operacionales y externas vía Internet</t>
  </si>
  <si>
    <t>Servicio de comunicación WEB vía banda ancha para transmisión en línea de datos operacionales y conectividad de todas las oficinas de la estación.  Incluye derechos de conexión, Cableado estructurado y  equipos dedicados, con redundancia para equios dedicados a la operación.</t>
  </si>
  <si>
    <t>TOTAL 2.4 SISTEMA DE COMUNICACIONES</t>
  </si>
  <si>
    <t>Precio Total MATERIAL Y/O EQUIPO USD$</t>
  </si>
  <si>
    <t>Precio Total MATERIAL Y/O EQUIPO Precio Total COP$</t>
  </si>
  <si>
    <t>Costo de montaje en COP$</t>
  </si>
  <si>
    <t>Costo de montaje en USP$</t>
  </si>
  <si>
    <t>Costo de montaje en COP$2024</t>
  </si>
  <si>
    <t>Sistema Eléctrico</t>
  </si>
  <si>
    <t xml:space="preserve"> </t>
  </si>
  <si>
    <t>Transformadores de corriente de 200 a 5, para 34,500 V</t>
  </si>
  <si>
    <t>Trnasformadores de Potencial</t>
  </si>
  <si>
    <t>Interruptor de Potencia</t>
  </si>
  <si>
    <t>Seccionador</t>
  </si>
  <si>
    <t>Transformador de Media Tensión de 34,5 KV a 6,3 KV</t>
  </si>
  <si>
    <t>Transformador de media tensión de 34500 V / 6,300 V, Potencia 7,5 MVA</t>
  </si>
  <si>
    <t>Transformador de Media a baja Tensión de 6,3 KV a 480 V</t>
  </si>
  <si>
    <t>Transformador de Media a baja Tensión de 6,3 KV a 480 V, Potencia 1,5 MVA</t>
  </si>
  <si>
    <t>Transformador de baja Tensión de 480 V a 220V</t>
  </si>
  <si>
    <t>Transformador de baja Tensión de 480 V a 220V, Potencia 0,5 MVA</t>
  </si>
  <si>
    <t>Transformador de baja Tensión de 220V a 110 V</t>
  </si>
  <si>
    <t>Transformador de baja Tensión de 220 V a 110V, Potencia 0,5 MVA</t>
  </si>
  <si>
    <t>Centro de Control de Motores
(CCM)</t>
  </si>
  <si>
    <t>Gabinete Actuadores Eléctricos (MOVs). Con 30 Interruptores Trifásicos de 480 V, 10 A cada uno</t>
  </si>
  <si>
    <t xml:space="preserve">Arrancadores suaves para Bombas Booster </t>
  </si>
  <si>
    <t>Arrancadores de Sistemas Auxiliares de Bombas Principales, Trifásicos 480 V</t>
  </si>
  <si>
    <t>Celdas de Alimentación de 480 V</t>
  </si>
  <si>
    <t xml:space="preserve">Barraje Seguro </t>
  </si>
  <si>
    <t>Celdas para Medición y Protección y Acople de Barras</t>
  </si>
  <si>
    <t>Centro de Control de Media Tensión
(CMT)</t>
  </si>
  <si>
    <t>Celdas de Media Tensión para alimentación desde Transformador Principal</t>
  </si>
  <si>
    <t>Celdas de Media Tensión para Bombas Principales y Bomba Contraincendio</t>
  </si>
  <si>
    <t>Celdas de Media Tensión para Acople de Barras</t>
  </si>
  <si>
    <r>
      <rPr>
        <sz val="10"/>
        <rFont val="Arial"/>
        <family val="2"/>
        <charset val="1"/>
      </rPr>
      <t xml:space="preserve">Cableado de Potencia
</t>
    </r>
    <r>
      <rPr>
        <b/>
        <sz val="11"/>
        <color rgb="FFFF0000"/>
        <rFont val="Calibri"/>
        <family val="2"/>
        <charset val="1"/>
      </rPr>
      <t>Cables de fabricación nacional por CENTELSA</t>
    </r>
  </si>
  <si>
    <t>Cable Tripolar 4/0 AWG de 8 KV, XLPE</t>
  </si>
  <si>
    <t>Cable 250 MCM x 600 V</t>
  </si>
  <si>
    <t>Cable 3 x 6 AWG, 600 V</t>
  </si>
  <si>
    <t>Cable 3 x 10 AWG, 600 V</t>
  </si>
  <si>
    <t>Cable 3 x 12 AWG, 600 V</t>
  </si>
  <si>
    <t xml:space="preserve">Luminarias LED con celda Solar </t>
  </si>
  <si>
    <t>Postería en concreto pretensionado de 12 metros</t>
  </si>
  <si>
    <t xml:space="preserve">Accesorios </t>
  </si>
  <si>
    <t>Sistema de Generación de Emergencia</t>
  </si>
  <si>
    <t>Grupo Electrógeno de 400 kVA con motor Diésel (Paquete Completo, tipo Caterpillar DE400 GC o similar)</t>
  </si>
  <si>
    <t>UPS</t>
  </si>
  <si>
    <t>Unidad de Potencia Ininterrumpida (UPS) de 25 KVA</t>
  </si>
  <si>
    <t>Banco de Baterías para soportar la UPS</t>
  </si>
  <si>
    <t>SIPRA / SPT</t>
  </si>
  <si>
    <r>
      <rPr>
        <sz val="10"/>
        <rFont val="Arial"/>
        <family val="2"/>
        <charset val="1"/>
      </rPr>
      <t xml:space="preserve">Sistema de Puesta a Tierra general en cable de cobre desnudo Calibre 6 AWG, y Sistema Integral de Protección contra Rayos.
</t>
    </r>
    <r>
      <rPr>
        <b/>
        <sz val="11"/>
        <color rgb="FFFF0000"/>
        <rFont val="Calibri"/>
        <family val="2"/>
        <charset val="1"/>
      </rPr>
      <t>Cable de cobre desnudo de fabricación nacional por CENTELSA</t>
    </r>
  </si>
  <si>
    <t>TOTAL SISTEMA ELECTRICO</t>
  </si>
  <si>
    <t>Montaje US$</t>
  </si>
  <si>
    <t>Montaje COP$2024</t>
  </si>
  <si>
    <t>Sistema de Control Distribuido para la operación y control de tres unidades booster y tres unidades principales, la totalidad de las MOVs y la comubicación con el Sistema de Control Central. Incluye: suministro a todo costo, hardware, software, montaje, pruebas, comisionado, entrenamiento de operadores y técnicos, y repuestos y servicios para los dos primeros años de operación</t>
  </si>
  <si>
    <t>Cableado completo de todos los sistemas de control para conectar los diferentes elementos y sistemas de campo con la Sala de Control; incluye cableado, bandejas, armarios, gabinetes, borneras</t>
  </si>
  <si>
    <t>Conexionado de Sistema de Control Local con Sistema de Control Centralizado Bogotá  (SCADA)</t>
  </si>
  <si>
    <t xml:space="preserve">Sistema completo de parada de emergencia por sobrepresiones, ausencia de fluído eléctrico y demás condiciones de riesgo identificadas en el HAZOP operacional </t>
  </si>
  <si>
    <t>2.6.5</t>
  </si>
  <si>
    <t>Instrumentación de Campo</t>
  </si>
  <si>
    <t>Tubing, Manómetros, Termómetros, Termopozos, Switches de Nivel, Sensores de vibración, Sensores de Temperatura, etcétera</t>
  </si>
  <si>
    <t>TOTAL SISTEMA DE CONTROL 2.6</t>
  </si>
  <si>
    <t>Observaciones</t>
  </si>
  <si>
    <t>Cerca en malla eslabonada calibre 10, con soportes en tubería Galvanizada calibre 12 embebidos en pedestales de concreto de 2,500 psi, de 20 x 20 x 60 cm, terminados en Y de la misma tubería de 50 x 50 cm, cada 3 metros, de 2,50 de altura y rematada en la parte superior con perfil de acero ángulo de 3/4" x 1/8".  En la Y de la parte superior tres líneas de alambre de púa calibre 12 en cada brazo de la Y.  La malla en la parte inferior debe ir embebida en una viga de amarre de concreto reforzado de 2,500 psi enterrada 15 cm y aérea 20 cm x un ancho de 15 cm</t>
  </si>
  <si>
    <t>AJUSTADO POR CAPACIDAD PIPING</t>
  </si>
  <si>
    <t>Portería en mampostería revestida exterior en pañete ordinario, interior en estuco, con puesto de trabajo de 3 x 2,0 m, vestier de 2 x 4,0 m y baño de 2 x 3 m. Acabados estandar.  Cubierta tipo industrial con cielo raso estandar</t>
  </si>
  <si>
    <t>M2</t>
  </si>
  <si>
    <t>Garita para vigilancia 1,7 x 1,7 m, elevada a 2,5 m del suelo sobre 4 columnas de concreto reforzado de 3,000 psi; piso en placa de concreto reforzado de 3,000 psi y 15 cm de espesor; con mamposteria hasta una altura de 1 m desde la placa de piso; altura sobre la placa de piso 2,10 m y cubierta tipo industrial</t>
  </si>
  <si>
    <t>Sistema lineal de detección de intrusos, instalado sobre la malla perimetral, con señal al centro de control con alarma visual y sonora</t>
  </si>
  <si>
    <t>Circuito cerrado de Televisión con 16 cámaras de intemperie con posicionamiento variable de control remoto, reportando a un centro de control con pantalla de 30" y 20 cámaras para interiores, de posición fija, reportando a un centro de control con pantalla de 30".</t>
  </si>
  <si>
    <t>Campamento para fuerzas armadas o de policía consta de: i) módulo habitacional para 20 hombres, módulo de baños, módulo de cocina y comedor - salón múltiple, módulo de lavandería y modulo de oficinas. Con pisos en placa de concret de12 cm de espesor, mampostería en bloque #4, Columnas y vigas en concreto reforzado de 2500 psi, cercha de techo en estructura metálica y techo en teja termoacústica Ecoroof</t>
  </si>
  <si>
    <t>TOTAL SISTEMA DE SEGURIDAD Y VIGILANCIA (2.7)</t>
  </si>
  <si>
    <t>Sistema de Tratamiento y Manejo de Aguas</t>
  </si>
  <si>
    <t>Sistema de Manejo de Aguas Lluvias</t>
  </si>
  <si>
    <t>Cunetas en concreto 2500 psi reforzado en malla electrosoldada, alcantarillas y obras de arte asociadas</t>
  </si>
  <si>
    <t>Sistema de Recolección y tratamiento de Aguas Residuales</t>
  </si>
  <si>
    <t>Sistema de Alcantarillado (Red de recolección de aguas residuales) en tubería subterránea en PVC 6" con cajas de inspeccion en cada punto de efluente y cada 50 mts de recorrido.</t>
  </si>
  <si>
    <t>Planta de Tratamiento de Aguas Residuales (PTAR), instalada y arrancada</t>
  </si>
  <si>
    <t>TOTAL  2.8.2</t>
  </si>
  <si>
    <t>Precio Total equipos USD$</t>
  </si>
  <si>
    <t>Precio Montaje COP$</t>
  </si>
  <si>
    <t>Precio Total  equip +montaje USD$</t>
  </si>
  <si>
    <t>Precio Unitario  EQ COP$2024</t>
  </si>
  <si>
    <t>Precio Total montaje USD$2024</t>
  </si>
  <si>
    <t>Sistema de Aire Comprimido</t>
  </si>
  <si>
    <t>2.9.1.1
Paquete completo (Patín) de Aire comprimido Industrial tipo AIRCENTER de KAESER Duplex, con dos compresores de tornillo rotativo, secador refrigerativo y un tanque de almacenamiento de aire en una unidad compacta individual. Capacidad 90 CFM @ 125psi</t>
  </si>
  <si>
    <t xml:space="preserve">2.9.1.2
Piping general para la distribución del aire industrial </t>
  </si>
  <si>
    <t>2.9.1.3
Obra Civil (Cimentación, soportería y Piso)</t>
  </si>
  <si>
    <t>TOTAL SIST. AIRE COMPRIMIDO</t>
  </si>
  <si>
    <t>Sistema Agua Industrial</t>
  </si>
  <si>
    <t>2.9.2.1
Tanque de Almacenamiento 10,000 Galones en fibra de vidrio recubierta de pintura acrílica para agua potable</t>
  </si>
  <si>
    <t xml:space="preserve">2.9.2.2
Planta de tratamiento para agua potable con capacidad para 50 personas/día (5 - 8 lpm) </t>
  </si>
  <si>
    <t>2.9.2.3
Pozo profundo o Punto de Captación superficial</t>
  </si>
  <si>
    <t>2.9.2.4
Linea de conducción subterránea fuente - planta en PVC 4"</t>
  </si>
  <si>
    <t>2.9.2.5
Red de distribución interna</t>
  </si>
  <si>
    <t>2.9.2.6
Bombeo Fuente - Planta</t>
  </si>
  <si>
    <t>2.9.2.7
Obra civil</t>
  </si>
  <si>
    <t>TOTAL SIST. AGUA INDUSTRIAL / POTABLE</t>
  </si>
  <si>
    <t>2.9.3.1
Tanque de almacenamiento 8,000 galones en acero al carbono ASTM A-283</t>
  </si>
  <si>
    <t>2.9.3.2
Red de distribución interna (Piping)</t>
  </si>
  <si>
    <t>2.9.3.3
Medidor Recibo</t>
  </si>
  <si>
    <t>2.9.3.4
Medidor de Entrega</t>
  </si>
  <si>
    <t>2.3.9.5
Obra Civil</t>
  </si>
  <si>
    <t>TOTAL SIST. COMBUSTIBLE DIESEL</t>
  </si>
  <si>
    <t>TOTAL 2.9 SERVICIOS INDUSTRIALES</t>
  </si>
  <si>
    <t>Cantidad</t>
  </si>
  <si>
    <t>Unidad de Medida</t>
  </si>
  <si>
    <t>Precio Unitario
USD$</t>
  </si>
  <si>
    <t>Precio Unitario
COP$</t>
  </si>
  <si>
    <t>Precio Total
USD$</t>
  </si>
  <si>
    <t>Precio Total
COP$</t>
  </si>
  <si>
    <t>Precio Unitario
COP$2024</t>
  </si>
  <si>
    <t>Caseta en acero estructural de 18 x 40 metros (área cubierta de 720 M2) x una altura de 7,5 metros.  La caseta a lo ancho tener un vano de 14 metros, en la totalidad de los 40 metros de su longitud, sin refuerzos centrales puesto que debe soportar un Puente Grúa de 5 Ton para movimiento de equipos.  La estructura del techo será en cercha metálica, la cual aparte de soportar el techo en teja termoacústica tipo "Forte" de espesor 2 mm, debe servir de soporte para la tubería del sistema contraincendios, la cual llena de agua pesa 12 Kg/metro.</t>
  </si>
  <si>
    <t>Kg</t>
  </si>
  <si>
    <t>Puente Grúa con capacidad para 5,0 Toneladas; debidamente instalado, arrancado y probado.  Con control inhalámbrico y repuestos para dos años</t>
  </si>
  <si>
    <t>Para este ejercicio se consideró que las bombas booster no requieren caseta, pero si un puente grúa de 2 Ton.</t>
  </si>
  <si>
    <t>Puente Grúa con capacidad para 2,0 Toneladas, debidamente instalado, arrancado y probado, con control remoto y repustpos para dos años.  Soportado en estructura metálica tipo "A" de 7 metros de altura.</t>
  </si>
  <si>
    <t>Caseta en acero estructural de 8 x 14 metros (área cubierta de 112 M2) x una altura de 4,0 metros.  La caseta a lo ancho tener un vano de 6 metros, en la totalidad de los 14 metros de su longitud, sin refuerzos centrales puesto que debe soportar un Puente Grúa de 1 Ton para movimiento de equipos.  La estructura del techo será en cercha metálica, la cual aparte de soportar el techo en teja termoacústica tipo "Forte" de espesor 2 mm, debe servir de soporte para la tubería del sistema contraincendios, la cual llena de agua pesa 12 Kg/metro.</t>
  </si>
  <si>
    <t>Puente Grúa con capacidad para 1,0 Tonelada; debidamente instalado, arrancado y probado.  Con control inhalámbrico y repuestos para dos años</t>
  </si>
  <si>
    <t>Para este ejercicio se consideró que los equipos de comunicaciones van en un cuarto dentro de la Sala de Control.  No tienen shelter aparte</t>
  </si>
  <si>
    <t>Shelter Sistemas Generación de Emergencia y Aire comprimido</t>
  </si>
  <si>
    <t>Para este ejercicio se consideró que los equipos de Aire Comprimido van bajo el mismo shelter de la Generación de Emergencia.  No tienen shelter aparte.</t>
  </si>
  <si>
    <t>Edificio de oficinas de una planta, de 10 x 18 metros (180 M2) sobre Placa de concreto de 15 cm de espesor, consta de dos oficinas cerradas de 4,5 x 4,0 m2 con baño privado, 2 espacios para oficina abierta de 40 m2 cada uno, 4 baños de 6 m2 cada uno, 1 cafeteria de 12 m2 y una sala de reuniones de 40 m2.  Estructura en concreto reforzado, paredes en mampostería, pañetadas y estucadas al interior, cubierta en placa de concreto de 12 cm.</t>
  </si>
  <si>
    <t>Edificio para sala de operaciones de una planta, de 14 x 20 metros (280 M2) sobre Placa de concreto de 15 cm de espesor, con un piso falso de 1 m de altura para cableado bajo el piso, consta de un espacio para equipos de alta tensión de 100 m2 y un espacio para equipos de media y baja tensión de 180 m2.  Estructura en concreto reforzado, paredes en mampostería, pañetadas y estucadas al interior, cubierta en placa de concreto de 12 cm; ventaneria en vidrio de seguridad de 0,3 x 0,6 m cada 2,5 m</t>
  </si>
  <si>
    <t>Edificio para sala de operaciones de una planta, de 14 x 25 metros (180 M2) sobre Placa de concreto de 15 cm de espesor, con un piso falso de 1 m de altura para cableado bajo el piso, consta de un espacio para equipos de control y operación de 100 m2, un baño de 8 m2, una cafeteria y comedor de 30 m2, oficina de 12 m2 y un vestier de 30 m2.  Estructura en concreto reforzado, paredes en mampostería, pañetadas y estucadas al interior, cubierta en placa de concreto de 12 cm; ventaneria en vidrio de seguridad de 0,3 x 0,6 m cada 2,5 m</t>
  </si>
  <si>
    <t>Talleres y Bodegas</t>
  </si>
  <si>
    <t>Edificio para talleres y bodegas de 20 x 20 metros (400 M2), altura de 4,0 m, piso en placa de concreto 15 cm, estructura metálica en acero y paredes en mampostería bloque #4, con techo en teja termoacústica.  Divisiones internas en mampostería para 4 espacios de similar tamaño.</t>
  </si>
  <si>
    <t>Para este ejercicio se consideró que los talleres van bajo el mismo edificio de las Bodegas.  No tienen edificio aparte.</t>
  </si>
  <si>
    <t>Construcciones menores de uso común en estaciones de bombeo con estándar Cenit - Ecopetrol; tales como: garajes cubiertos, caseta para elementos de control de incendios, helipuerto, comedor contratistas,etc</t>
  </si>
  <si>
    <t>TOTAL EDIFICACIONES 3.1</t>
  </si>
  <si>
    <t>OBSERVACIÓN</t>
  </si>
  <si>
    <t>Vías Internas</t>
  </si>
  <si>
    <t>Vía para tráfico medio, interna dentro de la estación para permitir acceso vehícular y de equipos a los diferentes sistemas operativos, centros de control, oficinas y talleres; en pavimento rígido de 4 metros de ancha, incluye materiales y mano de obra para: excavación con máquina, mejoramiento de subrasante, afirmado, base granular y geotextil para carpeta de rodamiento y cunetas laterales</t>
  </si>
  <si>
    <t>Vías de Acceso</t>
  </si>
  <si>
    <t>Vía para tráfico medio, de acceso a la estación, desde la vía pública, para conectar la estación con la red pública de vías; en flexible de 6 metros de ancha, incluye materiales y mano de obra para: excavación con máquina, mejoramiento de subrasante, afirmado, base granular y geotextil para carpeta de rodamiento y cunetas laterales</t>
  </si>
  <si>
    <t>TOTAL 3.2 Vías</t>
  </si>
  <si>
    <t>Limpieza, retiro de escombros, reconformación de terreno, empradización, engravillado, caminos peatonales, siembra de jardines y árboles</t>
  </si>
  <si>
    <t>TOTAL 3.3 Paisajismo y Urbanismo</t>
  </si>
  <si>
    <t>Muros en gaviones, cortacorrientes, descoles y revegetalización de taludes</t>
  </si>
  <si>
    <t>TOTAL 3.4 Obras de Protección Geotécnica y Ambiental</t>
  </si>
  <si>
    <t>Obras de demolición y desmantelamiento de Unidades Existentes</t>
  </si>
  <si>
    <t>DESMONTE UNIDADES PRINCIPALES</t>
  </si>
  <si>
    <t>Desmantelamiento Tubería</t>
  </si>
  <si>
    <t>Desmantelamiento Mecánica</t>
  </si>
  <si>
    <t>Desmantelamiento Eléctrica</t>
  </si>
  <si>
    <t>Desmantelamiento Instrumentación y Control</t>
  </si>
  <si>
    <t>Demolición obras civiles</t>
  </si>
  <si>
    <t>3.5.1 DESMANTELAMIENTO UNIDADES PRINCIPALES</t>
  </si>
  <si>
    <t>DESMONTE UNIDADES BOOSTER</t>
  </si>
  <si>
    <t>3.5.2 DESMANTELAMIENTO UNIDADES BOOSTER</t>
  </si>
  <si>
    <t>3.5 TOTAL DESMANTELAMIENTO UNIDADES</t>
  </si>
  <si>
    <t>OBRAS CIVILES</t>
  </si>
  <si>
    <t>ACTIVIDADES PRELIMINARES GENERALES</t>
  </si>
  <si>
    <t>PRECIOS COP$2024</t>
  </si>
  <si>
    <t>OBRAS PRELIMINARES</t>
  </si>
  <si>
    <t>LOCALIZACION Y REPLANTEO</t>
  </si>
  <si>
    <t>Localización espacial, vertical y horizontal de los diferentes elementos del Proyecto; definiendo una línea base debidamente amojonada y acotada referenciada a puntos fijos de fácil identificación, que sirvan en cualquier momento para hacer verificaciones de niveles.  Una (1) Comision de Topografia Permanente por 9 meses</t>
  </si>
  <si>
    <t>Dias</t>
  </si>
  <si>
    <t>DESCAPOTE, EXPLANACION Y NIVELACION DE TERRENO</t>
  </si>
  <si>
    <t>Obras de explanación necesarias para la correcta nivelación de las áreas destinadas a la construcción, excavación de préstramos si se requieren, evacuación de material vegetal, disposición final de materiales de ezcavación y conformación y compactación de las áreas donde se va a construír</t>
  </si>
  <si>
    <t>M3</t>
  </si>
  <si>
    <t>CIMENTACIONES Y PISOS</t>
  </si>
  <si>
    <t>EXCAVACION MECANICA</t>
  </si>
  <si>
    <t>Excavación en material común, por medio de maquinaria tipo retroexcavadora</t>
  </si>
  <si>
    <t>EXCAVACION MANUAL</t>
  </si>
  <si>
    <t>Excavación en material común, utilizando mano de obra no calificada y herramientas manuales</t>
  </si>
  <si>
    <t>RELLENO COMPACTADO</t>
  </si>
  <si>
    <t>Relleno compactado mediante maquinaria, con material seleccionado, para mejorar la capacidad portante del terreno a efectos de establecer las fundaciones e instalar estructuras y equipos</t>
  </si>
  <si>
    <r>
      <rPr>
        <sz val="10"/>
        <rFont val="Arial"/>
        <family val="2"/>
        <charset val="1"/>
      </rPr>
      <t>CONCRETO REFORZADO DE 3,000 PSI (210 Kg/cm</t>
    </r>
    <r>
      <rPr>
        <vertAlign val="superscript"/>
        <sz val="11"/>
        <color rgb="FF000000"/>
        <rFont val="Calibri"/>
        <family val="2"/>
        <charset val="1"/>
      </rPr>
      <t>2</t>
    </r>
    <r>
      <rPr>
        <sz val="11"/>
        <color rgb="FF000000"/>
        <rFont val="Calibri"/>
        <family val="2"/>
        <charset val="1"/>
      </rPr>
      <t>)</t>
    </r>
  </si>
  <si>
    <t>Mezcla de cemento Portland con agregados pétreos, en un grado de humedad predeterminado, la cual después de fraguada alcance una resistencia mínima a la compresión de 3,000 psi; reforzada con acero de 60,000 psi de resistencia a la tensión</t>
  </si>
  <si>
    <t xml:space="preserve">TOTAL OBRAS CIVILES </t>
  </si>
  <si>
    <t>VALORES TIPICOS ASUMIDOS PARA ESTE PROYECTO</t>
  </si>
  <si>
    <t>PROFUNDIDAD DE EXCAVACION</t>
  </si>
  <si>
    <t>PROFUNDIDAD DE  RELLENO COMPACTADO</t>
  </si>
  <si>
    <t>ESPESOR MEDIO PLACA DE CONCRETO</t>
  </si>
  <si>
    <t>VOLUMEN MEDIO ZAPATAS SOPORTES</t>
  </si>
  <si>
    <t>VOLUMEN MEDIO FOSO BOMBA BOOSTER</t>
  </si>
  <si>
    <t>M4</t>
  </si>
  <si>
    <t>VOLUMEN MEDIO BASE BOMBA PRINCIPAL</t>
  </si>
  <si>
    <t>M5</t>
  </si>
  <si>
    <t>TAMAÑO PLACA
M2</t>
  </si>
  <si>
    <t>EXCAVACION
MECANICA
M3</t>
  </si>
  <si>
    <t>EXCAVACION
MANUAL
M3</t>
  </si>
  <si>
    <t>RELLENO
COMPACTADO
M3</t>
  </si>
  <si>
    <t>CONCRETO 3,000 PSI</t>
  </si>
  <si>
    <t xml:space="preserve">MULTIPLE DE TANQUES </t>
  </si>
  <si>
    <t>BOMBAS BOOSTER</t>
  </si>
  <si>
    <t>PATIN FILTRACION</t>
  </si>
  <si>
    <t>PATIN MEDICION + PROOVER</t>
  </si>
  <si>
    <t>BOMBAS PRINCIPALES</t>
  </si>
  <si>
    <t>SISTEMA DE CONTRAINCENDIO</t>
  </si>
  <si>
    <t>SISTEMA GENERACION + SIST. AIRE</t>
  </si>
  <si>
    <t>SUBESTACION ELECTRICA</t>
  </si>
  <si>
    <t>TANQUE SUMIDERO</t>
  </si>
  <si>
    <t>TOTALES</t>
  </si>
  <si>
    <t xml:space="preserve">RELACIÓN POTENCIA PRECIO BOMBAS PRINCIPALES </t>
  </si>
  <si>
    <t xml:space="preserve">RELACIÓN POTENCIA PRECIO 
BOMBAS BOOSTER </t>
  </si>
  <si>
    <t>Versión 4</t>
  </si>
  <si>
    <t>A partir de cotizaciones complementarias de Bombas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</si>
</sst>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41" formatCode="_-* #,##0_-;\-* #,##0_-;_-* &quot;-&quot;_-;_-@_-"/>
    <numFmt numFmtId="43" formatCode="_-* #,##0.00_-;\-* #,##0.00_-;_-* &quot;-&quot;??_-;_-@_-"/>
    <numFmt numFmtId="164" formatCode="_-&quot;$&quot;* #,##0_-;\-&quot;$&quot;* #,##0_-;_-&quot;$&quot;* &quot;-&quot;_-;_-@_-"/>
    <numFmt numFmtId="165" formatCode="[$$-409]#,##0"/>
    <numFmt numFmtId="166" formatCode="* #,##0.00\ ;* \(#,##0.00\);* \-#\ ;@\ "/>
    <numFmt numFmtId="167" formatCode="_(* #,##0.000_);_(* \(#,##0.000\);_(* \-??_);_(@_)"/>
    <numFmt numFmtId="168" formatCode="[$$-240A]#,##0;[Red]\([$$-240A]#,##0\)"/>
    <numFmt numFmtId="169" formatCode="[$$-240A]#,##0.00;[Red]\([$$-240A]#,##0.00\)"/>
    <numFmt numFmtId="170" formatCode="[$$-240A]\ #,##0.00;[Red][$$-240A]\ #,##0.00"/>
    <numFmt numFmtId="171" formatCode="[$$-409]* #,##0.00\ ;[$$-409]* \(#,##0.00\);[$$-409]* \-#\ ;@\ "/>
    <numFmt numFmtId="172" formatCode="#,##0.00_ ;\-#,##0.00\ "/>
    <numFmt numFmtId="173" formatCode="_-[$$-409]* #,##0.00_ ;_-[$$-409]* \-#,##0.00\ ;_-[$$-409]* \-??_ ;_-@_ "/>
    <numFmt numFmtId="174" formatCode="* #,##0\ ;* \(#,##0\);* \-#\ ;@\ "/>
    <numFmt numFmtId="175" formatCode="#,##0.000"/>
    <numFmt numFmtId="176" formatCode="0.000"/>
    <numFmt numFmtId="177" formatCode="[$$]#,##0.00;[Red]\([$$]#,##0.00\)"/>
    <numFmt numFmtId="178" formatCode="0.0%"/>
    <numFmt numFmtId="179" formatCode="#,##0.0000"/>
    <numFmt numFmtId="180" formatCode="* #,##0.0000\ ;* \(#,##0.0000\);* \-#\ ;@\ "/>
    <numFmt numFmtId="181" formatCode="0.0000"/>
    <numFmt numFmtId="182" formatCode="#,###.00"/>
    <numFmt numFmtId="183" formatCode="#,##0.00;[Red]#,##0.00"/>
    <numFmt numFmtId="184" formatCode="#,##0.00000"/>
    <numFmt numFmtId="185" formatCode="0.000%"/>
    <numFmt numFmtId="186" formatCode="&quot; $&quot;* #,##0.00\ ;&quot; $&quot;* \(#,##0.00\);&quot; $&quot;* \-#\ ;@\ "/>
    <numFmt numFmtId="187" formatCode="&quot; $ &quot;* #,##0\ ;&quot; $ &quot;* \(#,##0\);&quot; $ &quot;* \-#\ ;@\ "/>
    <numFmt numFmtId="188" formatCode="* #,##0.000\ ;* \(#,##0.000\);* \-#\ ;@\ "/>
    <numFmt numFmtId="189" formatCode="&quot; $&quot;* #,##0\ ;&quot; $&quot;* \(#,##0\);&quot; $&quot;* \-#\ ;@\ "/>
    <numFmt numFmtId="190" formatCode="_(\$* #,##0_);_(\$* \(#,##0\);_(\$* \-??_);_(@_)"/>
    <numFmt numFmtId="191" formatCode="&quot;$ &quot;#,##0"/>
    <numFmt numFmtId="192" formatCode="* #,##0\ ;* \(#,##0\);* &quot;- &quot;;@\ "/>
    <numFmt numFmtId="193" formatCode="_(\$* #,##0.00_);_(\$* \(#,##0.00\);_(\$* \-??_);_(@_)"/>
    <numFmt numFmtId="194" formatCode="&quot;$&quot;#,##0"/>
    <numFmt numFmtId="195" formatCode="&quot;$&quot;\ #,##0.00_);[Red]\(&quot;$&quot;\ #,##0.00\)"/>
    <numFmt numFmtId="196" formatCode="0.0"/>
    <numFmt numFmtId="197" formatCode="[$$]\ #,##0.00;[Red][$$]\ #,##0.00" x16r2:formatCode16="[$$-uz-Arab-AF]\ #,##0.00;[Red][$$-uz-Arab-AF]\ #,##0.00"/>
    <numFmt numFmtId="198" formatCode="_-* #,##0.00_-;\-* #,##0.00_-;_-* &quot;-&quot;_-;_-@_-"/>
    <numFmt numFmtId="199" formatCode="#,###"/>
    <numFmt numFmtId="200" formatCode="d/mm/yy"/>
    <numFmt numFmtId="201" formatCode="#0.000"/>
    <numFmt numFmtId="202" formatCode="* #,##0.000\ ;* \(#,##0.000\);* \-#.000\ ;@\ "/>
    <numFmt numFmtId="203" formatCode="0.00000000"/>
  </numFmts>
  <fonts count="78">
    <font>
      <sz val="10"/>
      <name val="Arial"/>
      <family val="2"/>
      <charset val="1"/>
    </font>
    <font>
      <sz val="10"/>
      <color rgb="FFFFFFFF"/>
      <name val="Arial"/>
      <family val="2"/>
      <charset val="1"/>
    </font>
    <font>
      <b/>
      <sz val="10"/>
      <color rgb="FF000000"/>
      <name val="Arial"/>
      <family val="2"/>
      <charset val="1"/>
    </font>
    <font>
      <sz val="10"/>
      <color rgb="FFCC0000"/>
      <name val="Arial"/>
      <family val="2"/>
      <charset val="1"/>
    </font>
    <font>
      <b/>
      <sz val="10"/>
      <color rgb="FFFFFFFF"/>
      <name val="Arial"/>
      <family val="2"/>
      <charset val="1"/>
    </font>
    <font>
      <i/>
      <sz val="10"/>
      <color rgb="FF808080"/>
      <name val="Arial"/>
      <family val="2"/>
      <charset val="1"/>
    </font>
    <font>
      <sz val="10"/>
      <color rgb="FF006600"/>
      <name val="Arial"/>
      <family val="2"/>
      <charset val="1"/>
    </font>
    <font>
      <sz val="18"/>
      <color rgb="FF000000"/>
      <name val="Arial"/>
      <family val="2"/>
      <charset val="1"/>
    </font>
    <font>
      <b/>
      <sz val="24"/>
      <color rgb="FF000000"/>
      <name val="Arial"/>
      <family val="2"/>
      <charset val="1"/>
    </font>
    <font>
      <sz val="12"/>
      <color rgb="FF000000"/>
      <name val="Arial"/>
      <family val="2"/>
      <charset val="1"/>
    </font>
    <font>
      <u/>
      <sz val="10"/>
      <color rgb="FF0000EE"/>
      <name val="Arial"/>
      <family val="2"/>
      <charset val="1"/>
    </font>
    <font>
      <sz val="10"/>
      <color rgb="FF996600"/>
      <name val="Arial"/>
      <family val="2"/>
      <charset val="1"/>
    </font>
    <font>
      <sz val="11"/>
      <color rgb="FF000000"/>
      <name val="Calibri"/>
      <family val="2"/>
      <charset val="1"/>
    </font>
    <font>
      <sz val="10"/>
      <color rgb="FF333333"/>
      <name val="Arial"/>
      <family val="2"/>
      <charset val="1"/>
    </font>
    <font>
      <b/>
      <sz val="10"/>
      <color rgb="FF1F4E79"/>
      <name val="Arial"/>
      <family val="2"/>
      <charset val="1"/>
    </font>
    <font>
      <b/>
      <sz val="10"/>
      <name val="Calibri"/>
      <family val="2"/>
      <charset val="1"/>
    </font>
    <font>
      <b/>
      <sz val="16"/>
      <name val="Calibri"/>
      <family val="2"/>
      <charset val="1"/>
    </font>
    <font>
      <b/>
      <sz val="10"/>
      <name val="Arial"/>
      <family val="2"/>
      <charset val="1"/>
    </font>
    <font>
      <b/>
      <sz val="14"/>
      <color rgb="FF000000"/>
      <name val="Calibri"/>
      <family val="2"/>
      <charset val="1"/>
    </font>
    <font>
      <b/>
      <sz val="11"/>
      <color rgb="FFCE181E"/>
      <name val="Calibri"/>
      <family val="2"/>
      <charset val="1"/>
    </font>
    <font>
      <b/>
      <sz val="11"/>
      <color rgb="FF000000"/>
      <name val="Calibri"/>
      <family val="2"/>
      <charset val="1"/>
    </font>
    <font>
      <sz val="11"/>
      <name val="Calibri"/>
      <family val="2"/>
      <charset val="1"/>
    </font>
    <font>
      <b/>
      <sz val="11"/>
      <color rgb="FF1F4E79"/>
      <name val="Calibri"/>
      <family val="2"/>
      <charset val="1"/>
    </font>
    <font>
      <sz val="10"/>
      <color rgb="FF000000"/>
      <name val="Arial"/>
      <family val="2"/>
      <charset val="1"/>
    </font>
    <font>
      <b/>
      <sz val="20"/>
      <color rgb="FF203864"/>
      <name val="Calibri"/>
      <family val="2"/>
      <charset val="1"/>
    </font>
    <font>
      <b/>
      <sz val="24"/>
      <color rgb="FF203864"/>
      <name val="Calibri"/>
      <family val="2"/>
      <charset val="1"/>
    </font>
    <font>
      <b/>
      <sz val="10"/>
      <color rgb="FF203864"/>
      <name val="Calibri"/>
      <family val="2"/>
      <charset val="1"/>
    </font>
    <font>
      <b/>
      <sz val="10"/>
      <color rgb="FF203864"/>
      <name val="Arial"/>
      <family val="2"/>
      <charset val="1"/>
    </font>
    <font>
      <b/>
      <sz val="18"/>
      <color rgb="FF203864"/>
      <name val="Arial"/>
      <family val="2"/>
      <charset val="1"/>
    </font>
    <font>
      <sz val="11"/>
      <color rgb="FF000000"/>
      <name val="Arial"/>
      <family val="2"/>
      <charset val="1"/>
    </font>
    <font>
      <b/>
      <sz val="11"/>
      <color rgb="FF203864"/>
      <name val="Arial"/>
      <family val="2"/>
      <charset val="1"/>
    </font>
    <font>
      <sz val="10"/>
      <color rgb="FF000000"/>
      <name val="Arial"/>
      <family val="2"/>
    </font>
    <font>
      <sz val="9"/>
      <color rgb="FF000000"/>
      <name val="Arial"/>
      <family val="2"/>
      <charset val="1"/>
    </font>
    <font>
      <sz val="11"/>
      <color rgb="FFFF0000"/>
      <name val="Arial"/>
      <family val="2"/>
      <charset val="1"/>
    </font>
    <font>
      <sz val="9"/>
      <name val="Arial"/>
      <family val="2"/>
      <charset val="1"/>
    </font>
    <font>
      <sz val="12"/>
      <name val="Arial"/>
      <family val="2"/>
      <charset val="1"/>
    </font>
    <font>
      <b/>
      <sz val="12"/>
      <color rgb="FF000000"/>
      <name val="Arial"/>
      <family val="2"/>
      <charset val="1"/>
    </font>
    <font>
      <sz val="10"/>
      <color rgb="FF000000"/>
      <name val="Calibri"/>
      <family val="2"/>
      <charset val="1"/>
    </font>
    <font>
      <vertAlign val="superscript"/>
      <sz val="11"/>
      <color rgb="FF000000"/>
      <name val="Calibri"/>
      <family val="2"/>
      <charset val="1"/>
    </font>
    <font>
      <sz val="12"/>
      <color rgb="FF000000"/>
      <name val="Arial Narrow"/>
      <family val="2"/>
      <charset val="1"/>
    </font>
    <font>
      <b/>
      <sz val="12"/>
      <color rgb="FF000000"/>
      <name val="Arial Narrow"/>
      <family val="2"/>
      <charset val="1"/>
    </font>
    <font>
      <b/>
      <sz val="12"/>
      <color rgb="FF1F4E79"/>
      <name val="Arial Narrow"/>
      <family val="2"/>
      <charset val="1"/>
    </font>
    <font>
      <b/>
      <sz val="10"/>
      <color rgb="FF000000"/>
      <name val="Arial Narrow"/>
      <family val="2"/>
      <charset val="1"/>
    </font>
    <font>
      <sz val="11"/>
      <color rgb="FF000000"/>
      <name val="Arial Narrow"/>
      <family val="2"/>
      <charset val="1"/>
    </font>
    <font>
      <sz val="10"/>
      <color rgb="FF000000"/>
      <name val="Arial Narrow"/>
      <family val="2"/>
      <charset val="1"/>
    </font>
    <font>
      <b/>
      <sz val="12"/>
      <name val="Arial Narrow"/>
      <family val="2"/>
      <charset val="1"/>
    </font>
    <font>
      <sz val="10"/>
      <name val="Calibri"/>
      <family val="2"/>
      <charset val="1"/>
    </font>
    <font>
      <b/>
      <sz val="10"/>
      <color rgb="FF000000"/>
      <name val="Calibri"/>
      <family val="2"/>
      <charset val="1"/>
    </font>
    <font>
      <b/>
      <sz val="11"/>
      <color rgb="FFFF0000"/>
      <name val="Calibri"/>
      <family val="2"/>
      <charset val="1"/>
    </font>
    <font>
      <sz val="10"/>
      <color rgb="FFFF0000"/>
      <name val="Arial"/>
      <family val="2"/>
      <charset val="1"/>
    </font>
    <font>
      <b/>
      <sz val="12"/>
      <name val="Calibri"/>
      <family val="2"/>
      <charset val="1"/>
    </font>
    <font>
      <b/>
      <sz val="11"/>
      <name val="Calibri"/>
      <family val="2"/>
      <charset val="1"/>
    </font>
    <font>
      <b/>
      <sz val="12"/>
      <color rgb="FF000000"/>
      <name val="Calibri"/>
      <family val="2"/>
      <charset val="1"/>
    </font>
    <font>
      <sz val="10"/>
      <name val="Arial"/>
      <family val="2"/>
      <charset val="1"/>
    </font>
    <font>
      <b/>
      <sz val="10"/>
      <name val="Arial"/>
      <family val="2"/>
    </font>
    <font>
      <u/>
      <sz val="10"/>
      <color theme="10"/>
      <name val="Arial"/>
      <family val="2"/>
      <charset val="1"/>
    </font>
    <font>
      <sz val="12"/>
      <color theme="0"/>
      <name val="Calibri"/>
      <family val="2"/>
      <scheme val="minor"/>
    </font>
    <font>
      <sz val="10"/>
      <color theme="1"/>
      <name val="Arial Unicode MS"/>
      <family val="2"/>
    </font>
    <font>
      <sz val="9"/>
      <color rgb="FF000000"/>
      <name val="Tahoma"/>
      <family val="2"/>
    </font>
    <font>
      <b/>
      <sz val="10"/>
      <color rgb="FF000000"/>
      <name val="Arial"/>
      <family val="2"/>
    </font>
    <font>
      <b/>
      <sz val="10"/>
      <color rgb="FFFF0000"/>
      <name val="Arial"/>
      <family val="2"/>
    </font>
    <font>
      <b/>
      <sz val="12"/>
      <color theme="8" tint="-0.499984740745262"/>
      <name val="Arial"/>
      <family val="2"/>
    </font>
    <font>
      <sz val="10"/>
      <color theme="0" tint="-0.14999847407452621"/>
      <name val="Arial"/>
      <family val="2"/>
      <charset val="1"/>
    </font>
    <font>
      <sz val="11"/>
      <color theme="0" tint="-0.14999847407452621"/>
      <name val="Calibri"/>
      <family val="2"/>
      <charset val="1"/>
    </font>
    <font>
      <sz val="14"/>
      <color rgb="FFFF0000"/>
      <name val="Arial"/>
      <family val="2"/>
      <charset val="1"/>
    </font>
    <font>
      <b/>
      <sz val="14"/>
      <name val="Arial"/>
      <family val="2"/>
    </font>
    <font>
      <b/>
      <sz val="14"/>
      <color rgb="FFFF0000"/>
      <name val="Calibri"/>
      <family val="2"/>
      <charset val="1"/>
    </font>
    <font>
      <b/>
      <i/>
      <sz val="10"/>
      <name val="Arial"/>
      <family val="2"/>
    </font>
    <font>
      <b/>
      <i/>
      <sz val="12"/>
      <name val="Arial"/>
      <family val="2"/>
    </font>
    <font>
      <i/>
      <sz val="10"/>
      <name val="Arial"/>
      <family val="2"/>
    </font>
    <font>
      <sz val="11"/>
      <color indexed="8"/>
      <name val="Calibri"/>
      <family val="2"/>
      <scheme val="minor"/>
    </font>
    <font>
      <i/>
      <sz val="11"/>
      <name val="Calibri"/>
      <family val="2"/>
    </font>
    <font>
      <sz val="9"/>
      <color indexed="81"/>
      <name val="Tahoma"/>
      <family val="2"/>
    </font>
    <font>
      <b/>
      <sz val="9"/>
      <color rgb="FF000000"/>
      <name val="Arial"/>
      <family val="2"/>
      <charset val="1"/>
    </font>
    <font>
      <sz val="10"/>
      <name val="Arial"/>
      <family val="2"/>
    </font>
    <font>
      <sz val="9"/>
      <color theme="0" tint="-0.14999847407452621"/>
      <name val="Calibri"/>
      <family val="2"/>
      <charset val="1"/>
    </font>
    <font>
      <sz val="9"/>
      <name val="Calibri"/>
      <family val="2"/>
      <charset val="1"/>
    </font>
    <font>
      <sz val="11"/>
      <color rgb="FF000000"/>
      <name val="Calibri"/>
      <family val="2"/>
    </font>
  </fonts>
  <fills count="34">
    <fill>
      <patternFill patternType="none"/>
    </fill>
    <fill>
      <patternFill patternType="gray125"/>
    </fill>
    <fill>
      <patternFill patternType="solid">
        <fgColor rgb="FF000000"/>
        <bgColor rgb="FF003300"/>
      </patternFill>
    </fill>
    <fill>
      <patternFill patternType="solid">
        <fgColor rgb="FF808080"/>
        <bgColor rgb="FF969696"/>
      </patternFill>
    </fill>
    <fill>
      <patternFill patternType="solid">
        <fgColor rgb="FFDDDDDD"/>
        <bgColor rgb="FFD9D9D9"/>
      </patternFill>
    </fill>
    <fill>
      <patternFill patternType="solid">
        <fgColor rgb="FFFFCCCC"/>
        <bgColor rgb="FFFBE5D6"/>
      </patternFill>
    </fill>
    <fill>
      <patternFill patternType="solid">
        <fgColor rgb="FFCC0000"/>
        <bgColor rgb="FFCE181E"/>
      </patternFill>
    </fill>
    <fill>
      <patternFill patternType="solid">
        <fgColor rgb="FFCCFFCC"/>
        <bgColor rgb="FFEBF1DE"/>
      </patternFill>
    </fill>
    <fill>
      <patternFill patternType="solid">
        <fgColor rgb="FFFFFFCC"/>
        <bgColor rgb="FFEBF1DE"/>
      </patternFill>
    </fill>
    <fill>
      <patternFill patternType="solid">
        <fgColor rgb="FFD9D9D9"/>
        <bgColor rgb="FFDDDDDD"/>
      </patternFill>
    </fill>
    <fill>
      <patternFill patternType="solid">
        <fgColor rgb="FFDEEBF7"/>
        <bgColor rgb="FFEBF1DE"/>
      </patternFill>
    </fill>
    <fill>
      <patternFill patternType="solid">
        <fgColor rgb="FFF2F2F2"/>
        <bgColor rgb="FFEBF1DE"/>
      </patternFill>
    </fill>
    <fill>
      <patternFill patternType="solid">
        <fgColor rgb="FFFBE5D6"/>
        <bgColor rgb="FFEBF1DE"/>
      </patternFill>
    </fill>
    <fill>
      <patternFill patternType="solid">
        <fgColor rgb="FFBFBFBF"/>
        <bgColor rgb="FFC5E0B4"/>
      </patternFill>
    </fill>
    <fill>
      <patternFill patternType="solid">
        <fgColor rgb="FFEBF1DE"/>
        <bgColor rgb="FFF2F2F2"/>
      </patternFill>
    </fill>
    <fill>
      <patternFill patternType="solid">
        <fgColor theme="0" tint="-0.14999847407452621"/>
        <bgColor indexed="64"/>
      </patternFill>
    </fill>
    <fill>
      <patternFill patternType="solid">
        <fgColor theme="0" tint="-4.9989318521683403E-2"/>
        <bgColor rgb="FFDDDDDD"/>
      </patternFill>
    </fill>
    <fill>
      <patternFill patternType="solid">
        <fgColor theme="0" tint="-4.9989318521683403E-2"/>
        <bgColor rgb="FFEBF1DE"/>
      </patternFill>
    </fill>
    <fill>
      <patternFill patternType="solid">
        <fgColor theme="0" tint="-4.9989318521683403E-2"/>
        <bgColor indexed="64"/>
      </patternFill>
    </fill>
    <fill>
      <patternFill patternType="solid">
        <fgColor rgb="FFFFFF00"/>
        <bgColor rgb="FFEBF1DE"/>
      </patternFill>
    </fill>
    <fill>
      <patternFill patternType="solid">
        <fgColor theme="4" tint="0.79998168889431442"/>
        <bgColor indexed="64"/>
      </patternFill>
    </fill>
    <fill>
      <patternFill patternType="solid">
        <fgColor theme="9" tint="0.79998168889431442"/>
        <bgColor rgb="FFEBF1DE"/>
      </patternFill>
    </fill>
    <fill>
      <patternFill patternType="solid">
        <fgColor theme="9" tint="0.79998168889431442"/>
        <bgColor indexed="64"/>
      </patternFill>
    </fill>
    <fill>
      <patternFill patternType="solid">
        <fgColor rgb="FFE2EFDA"/>
        <bgColor rgb="FF000000"/>
      </patternFill>
    </fill>
    <fill>
      <patternFill patternType="solid">
        <fgColor theme="8" tint="0.59999389629810485"/>
        <bgColor rgb="FFEBF1DE"/>
      </patternFill>
    </fill>
    <fill>
      <patternFill patternType="solid">
        <fgColor theme="0" tint="-4.9989318521683403E-2"/>
        <bgColor rgb="FFC5E0B4"/>
      </patternFill>
    </fill>
    <fill>
      <patternFill patternType="solid">
        <fgColor theme="4" tint="0.79998168889431442"/>
        <bgColor rgb="FFEBF1DE"/>
      </patternFill>
    </fill>
    <fill>
      <patternFill patternType="solid">
        <fgColor theme="4" tint="-0.249977111117893"/>
        <bgColor rgb="FFEBF1DE"/>
      </patternFill>
    </fill>
    <fill>
      <patternFill patternType="solid">
        <fgColor theme="0" tint="-0.249977111117893"/>
        <bgColor indexed="64"/>
      </patternFill>
    </fill>
    <fill>
      <patternFill patternType="solid">
        <fgColor theme="0" tint="-0.14999847407452621"/>
        <bgColor rgb="FFEBF1DE"/>
      </patternFill>
    </fill>
    <fill>
      <patternFill patternType="solid">
        <fgColor theme="0" tint="-0.14999847407452621"/>
        <bgColor rgb="FFDDDDDD"/>
      </patternFill>
    </fill>
    <fill>
      <patternFill patternType="solid">
        <fgColor theme="2"/>
        <bgColor rgb="FFEBF1DE"/>
      </patternFill>
    </fill>
    <fill>
      <patternFill patternType="solid">
        <fgColor theme="8" tint="0.39997558519241921"/>
        <bgColor rgb="FFEBF1DE"/>
      </patternFill>
    </fill>
    <fill>
      <patternFill patternType="solid">
        <fgColor theme="7" tint="0.79998168889431442"/>
        <bgColor rgb="FFEBF1DE"/>
      </patternFill>
    </fill>
  </fills>
  <borders count="80">
    <border>
      <left/>
      <right/>
      <top/>
      <bottom/>
      <diagonal/>
    </border>
    <border>
      <left style="thin">
        <color rgb="FF808080"/>
      </left>
      <right style="thin">
        <color rgb="FF808080"/>
      </right>
      <top style="thin">
        <color rgb="FF808080"/>
      </top>
      <bottom style="thin">
        <color rgb="FF808080"/>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medium">
        <color auto="1"/>
      </bottom>
      <diagonal/>
    </border>
    <border>
      <left style="medium">
        <color auto="1"/>
      </left>
      <right/>
      <top style="medium">
        <color auto="1"/>
      </top>
      <bottom/>
      <diagonal/>
    </border>
    <border>
      <left style="medium">
        <color auto="1"/>
      </left>
      <right style="medium">
        <color auto="1"/>
      </right>
      <top style="medium">
        <color auto="1"/>
      </top>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diagonal/>
    </border>
    <border>
      <left style="thin">
        <color auto="1"/>
      </left>
      <right style="medium">
        <color auto="1"/>
      </right>
      <top style="medium">
        <color auto="1"/>
      </top>
      <bottom/>
      <diagonal/>
    </border>
    <border>
      <left style="thin">
        <color auto="1"/>
      </left>
      <right/>
      <top style="medium">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hair">
        <color auto="1"/>
      </left>
      <right style="hair">
        <color auto="1"/>
      </right>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bottom style="medium">
        <color auto="1"/>
      </bottom>
      <diagonal/>
    </border>
    <border>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style="medium">
        <color auto="1"/>
      </top>
      <bottom style="thin">
        <color auto="1"/>
      </bottom>
      <diagonal/>
    </border>
    <border>
      <left style="thin">
        <color auto="1"/>
      </left>
      <right style="thin">
        <color auto="1"/>
      </right>
      <top/>
      <bottom/>
      <diagonal/>
    </border>
    <border>
      <left style="medium">
        <color auto="1"/>
      </left>
      <right/>
      <top style="thin">
        <color auto="1"/>
      </top>
      <bottom style="thin">
        <color auto="1"/>
      </bottom>
      <diagonal/>
    </border>
    <border>
      <left style="medium">
        <color auto="1"/>
      </left>
      <right style="thin">
        <color auto="1"/>
      </right>
      <top/>
      <bottom style="medium">
        <color auto="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auto="1"/>
      </left>
      <right/>
      <top style="thin">
        <color auto="1"/>
      </top>
      <bottom style="thin">
        <color auto="1"/>
      </bottom>
      <diagonal/>
    </border>
    <border>
      <left/>
      <right/>
      <top style="thin">
        <color auto="1"/>
      </top>
      <bottom style="medium">
        <color auto="1"/>
      </bottom>
      <diagonal/>
    </border>
    <border>
      <left/>
      <right style="medium">
        <color auto="1"/>
      </right>
      <top/>
      <bottom style="medium">
        <color auto="1"/>
      </bottom>
      <diagonal/>
    </border>
    <border>
      <left/>
      <right style="thin">
        <color indexed="64"/>
      </right>
      <top/>
      <bottom style="thin">
        <color indexed="64"/>
      </bottom>
      <diagonal/>
    </border>
    <border>
      <left/>
      <right style="thin">
        <color auto="1"/>
      </right>
      <top/>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medium">
        <color indexed="64"/>
      </left>
      <right style="thin">
        <color auto="1"/>
      </right>
      <top style="thin">
        <color indexed="64"/>
      </top>
      <bottom/>
      <diagonal/>
    </border>
    <border>
      <left style="medium">
        <color indexed="64"/>
      </left>
      <right style="thin">
        <color auto="1"/>
      </right>
      <top/>
      <bottom style="thin">
        <color indexed="64"/>
      </bottom>
      <diagonal/>
    </border>
    <border>
      <left style="thin">
        <color auto="1"/>
      </left>
      <right/>
      <top style="thin">
        <color auto="1"/>
      </top>
      <bottom style="medium">
        <color auto="1"/>
      </bottom>
      <diagonal/>
    </border>
    <border>
      <left/>
      <right/>
      <top style="medium">
        <color auto="1"/>
      </top>
      <bottom style="thin">
        <color indexed="64"/>
      </bottom>
      <diagonal/>
    </border>
    <border>
      <left style="hair">
        <color auto="1"/>
      </left>
      <right style="hair">
        <color auto="1"/>
      </right>
      <top/>
      <bottom/>
      <diagonal/>
    </border>
    <border>
      <left style="medium">
        <color indexed="64"/>
      </left>
      <right style="hair">
        <color auto="1"/>
      </right>
      <top style="medium">
        <color indexed="64"/>
      </top>
      <bottom style="hair">
        <color auto="1"/>
      </bottom>
      <diagonal/>
    </border>
    <border>
      <left style="hair">
        <color auto="1"/>
      </left>
      <right style="hair">
        <color auto="1"/>
      </right>
      <top style="medium">
        <color indexed="64"/>
      </top>
      <bottom style="hair">
        <color auto="1"/>
      </bottom>
      <diagonal/>
    </border>
    <border>
      <left style="medium">
        <color indexed="64"/>
      </left>
      <right style="hair">
        <color auto="1"/>
      </right>
      <top style="hair">
        <color auto="1"/>
      </top>
      <bottom style="hair">
        <color auto="1"/>
      </bottom>
      <diagonal/>
    </border>
    <border>
      <left style="medium">
        <color indexed="64"/>
      </left>
      <right style="hair">
        <color auto="1"/>
      </right>
      <top style="hair">
        <color auto="1"/>
      </top>
      <bottom style="medium">
        <color indexed="64"/>
      </bottom>
      <diagonal/>
    </border>
    <border>
      <left style="hair">
        <color auto="1"/>
      </left>
      <right style="hair">
        <color auto="1"/>
      </right>
      <top style="hair">
        <color auto="1"/>
      </top>
      <bottom style="medium">
        <color indexed="64"/>
      </bottom>
      <diagonal/>
    </border>
    <border>
      <left style="medium">
        <color indexed="64"/>
      </left>
      <right style="hair">
        <color auto="1"/>
      </right>
      <top/>
      <bottom style="hair">
        <color auto="1"/>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top style="hair">
        <color auto="1"/>
      </top>
      <bottom style="medium">
        <color indexed="64"/>
      </bottom>
      <diagonal/>
    </border>
    <border>
      <left style="hair">
        <color auto="1"/>
      </left>
      <right/>
      <top/>
      <bottom style="hair">
        <color auto="1"/>
      </bottom>
      <diagonal/>
    </border>
    <border>
      <left style="hair">
        <color auto="1"/>
      </left>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right style="thin">
        <color indexed="64"/>
      </right>
      <top style="medium">
        <color rgb="FF000000"/>
      </top>
      <bottom style="thin">
        <color indexed="64"/>
      </bottom>
      <diagonal/>
    </border>
    <border>
      <left style="hair">
        <color auto="1"/>
      </left>
      <right/>
      <top/>
      <bottom/>
      <diagonal/>
    </border>
    <border>
      <left style="medium">
        <color auto="1"/>
      </left>
      <right style="hair">
        <color auto="1"/>
      </right>
      <top/>
      <bottom style="medium">
        <color indexed="64"/>
      </bottom>
      <diagonal/>
    </border>
  </borders>
  <cellStyleXfs count="29">
    <xf numFmtId="0" fontId="0" fillId="0" borderId="0"/>
    <xf numFmtId="166" fontId="53" fillId="0" borderId="0" applyBorder="0" applyProtection="0"/>
    <xf numFmtId="186" fontId="53" fillId="0" borderId="0" applyBorder="0" applyProtection="0"/>
    <xf numFmtId="9" fontId="53" fillId="0" borderId="0" applyBorder="0" applyProtection="0"/>
    <xf numFmtId="0" fontId="1" fillId="2" borderId="0" applyBorder="0" applyProtection="0"/>
    <xf numFmtId="0" fontId="1" fillId="3" borderId="0" applyBorder="0" applyProtection="0"/>
    <xf numFmtId="0" fontId="2" fillId="4" borderId="0" applyBorder="0" applyProtection="0"/>
    <xf numFmtId="0" fontId="2" fillId="0" borderId="0" applyBorder="0" applyProtection="0"/>
    <xf numFmtId="0" fontId="3" fillId="5" borderId="0" applyBorder="0" applyProtection="0"/>
    <xf numFmtId="0" fontId="4" fillId="6" borderId="0" applyBorder="0" applyProtection="0"/>
    <xf numFmtId="0" fontId="5" fillId="0" borderId="0" applyBorder="0" applyProtection="0"/>
    <xf numFmtId="0" fontId="6" fillId="7" borderId="0" applyBorder="0" applyProtection="0"/>
    <xf numFmtId="0" fontId="7" fillId="0" borderId="0" applyBorder="0" applyProtection="0"/>
    <xf numFmtId="0" fontId="8" fillId="0" borderId="0" applyBorder="0" applyProtection="0"/>
    <xf numFmtId="0" fontId="9" fillId="0" borderId="0" applyBorder="0" applyProtection="0"/>
    <xf numFmtId="0" fontId="10" fillId="0" borderId="0" applyBorder="0" applyProtection="0"/>
    <xf numFmtId="0" fontId="11" fillId="8" borderId="0" applyBorder="0" applyProtection="0"/>
    <xf numFmtId="0" fontId="12" fillId="0" borderId="0"/>
    <xf numFmtId="165" fontId="12" fillId="0" borderId="0"/>
    <xf numFmtId="0" fontId="13" fillId="8" borderId="1" applyProtection="0"/>
    <xf numFmtId="9" fontId="53" fillId="0" borderId="0" applyBorder="0" applyProtection="0"/>
    <xf numFmtId="0" fontId="53" fillId="0" borderId="0" applyBorder="0" applyProtection="0"/>
    <xf numFmtId="0" fontId="53" fillId="0" borderId="0" applyBorder="0" applyProtection="0"/>
    <xf numFmtId="0" fontId="3" fillId="0" borderId="0" applyBorder="0" applyProtection="0"/>
    <xf numFmtId="192" fontId="12" fillId="0" borderId="0" applyBorder="0" applyProtection="0"/>
    <xf numFmtId="0" fontId="55" fillId="0" borderId="0" applyNumberFormat="0" applyFill="0" applyBorder="0" applyAlignment="0" applyProtection="0"/>
    <xf numFmtId="164" fontId="53" fillId="0" borderId="0" applyFont="0" applyFill="0" applyBorder="0" applyAlignment="0" applyProtection="0"/>
    <xf numFmtId="41" fontId="53" fillId="0" borderId="0" applyFont="0" applyFill="0" applyBorder="0" applyAlignment="0" applyProtection="0"/>
    <xf numFmtId="0" fontId="70" fillId="0" borderId="0"/>
  </cellStyleXfs>
  <cellXfs count="830">
    <xf numFmtId="0" fontId="0" fillId="0" borderId="0" xfId="0"/>
    <xf numFmtId="0" fontId="0" fillId="0" borderId="0" xfId="0" applyAlignment="1">
      <alignment horizontal="left"/>
    </xf>
    <xf numFmtId="10" fontId="0" fillId="10" borderId="2" xfId="0" applyNumberFormat="1" applyFill="1" applyBorder="1" applyAlignment="1">
      <alignment horizontal="center" vertical="center"/>
    </xf>
    <xf numFmtId="2" fontId="0" fillId="10" borderId="2" xfId="0" applyNumberFormat="1" applyFill="1" applyBorder="1" applyAlignment="1">
      <alignment horizontal="center" vertical="center"/>
    </xf>
    <xf numFmtId="0" fontId="16" fillId="9" borderId="5" xfId="0" applyFont="1" applyFill="1" applyBorder="1" applyAlignment="1">
      <alignment horizontal="center" vertical="center" wrapText="1"/>
    </xf>
    <xf numFmtId="0" fontId="15" fillId="9" borderId="6" xfId="0" applyFont="1" applyFill="1" applyBorder="1" applyAlignment="1">
      <alignment horizontal="center" vertical="center" wrapText="1"/>
    </xf>
    <xf numFmtId="0" fontId="15" fillId="9" borderId="6" xfId="0" applyFont="1" applyFill="1" applyBorder="1" applyAlignment="1">
      <alignment horizontal="center" vertical="center" textRotation="90" wrapText="1"/>
    </xf>
    <xf numFmtId="0" fontId="15" fillId="9" borderId="7" xfId="0" applyFont="1" applyFill="1" applyBorder="1" applyAlignment="1">
      <alignment horizontal="center" vertical="center" textRotation="90"/>
    </xf>
    <xf numFmtId="0" fontId="15" fillId="9" borderId="8" xfId="0" applyFont="1" applyFill="1" applyBorder="1" applyAlignment="1">
      <alignment horizontal="center" vertical="center" textRotation="90" wrapText="1"/>
    </xf>
    <xf numFmtId="167" fontId="15" fillId="9" borderId="4" xfId="1" applyNumberFormat="1" applyFont="1" applyFill="1" applyBorder="1" applyAlignment="1" applyProtection="1">
      <alignment horizontal="center" vertical="center" textRotation="90" wrapText="1"/>
    </xf>
    <xf numFmtId="167" fontId="15" fillId="9" borderId="4" xfId="1" applyNumberFormat="1" applyFont="1" applyFill="1" applyBorder="1" applyAlignment="1" applyProtection="1">
      <alignment horizontal="center" vertical="center" textRotation="90"/>
    </xf>
    <xf numFmtId="0" fontId="15" fillId="11" borderId="6" xfId="0" applyFont="1" applyFill="1" applyBorder="1" applyAlignment="1">
      <alignment horizontal="center" vertical="center" wrapText="1"/>
    </xf>
    <xf numFmtId="0" fontId="18" fillId="9" borderId="4" xfId="0" applyFont="1" applyFill="1" applyBorder="1" applyAlignment="1">
      <alignment vertical="center"/>
    </xf>
    <xf numFmtId="0" fontId="17" fillId="9" borderId="10" xfId="0" applyFont="1" applyFill="1" applyBorder="1" applyAlignment="1">
      <alignment horizontal="center" vertical="center"/>
    </xf>
    <xf numFmtId="0" fontId="17" fillId="9" borderId="11" xfId="0" applyFont="1" applyFill="1" applyBorder="1" applyAlignment="1">
      <alignment horizontal="center" vertical="center"/>
    </xf>
    <xf numFmtId="0" fontId="0" fillId="9" borderId="5" xfId="0" applyFill="1" applyBorder="1"/>
    <xf numFmtId="0" fontId="0" fillId="9" borderId="12" xfId="0" applyFill="1" applyBorder="1"/>
    <xf numFmtId="0" fontId="0" fillId="9" borderId="13" xfId="0" applyFill="1" applyBorder="1"/>
    <xf numFmtId="0" fontId="20" fillId="9" borderId="11" xfId="0" applyFont="1" applyFill="1" applyBorder="1" applyAlignment="1">
      <alignment horizontal="left" vertical="center"/>
    </xf>
    <xf numFmtId="0" fontId="20" fillId="9" borderId="4" xfId="0" applyFont="1" applyFill="1" applyBorder="1"/>
    <xf numFmtId="166" fontId="21" fillId="11" borderId="6" xfId="1" applyFont="1" applyFill="1" applyBorder="1" applyAlignment="1" applyProtection="1">
      <alignment horizontal="center" vertical="center"/>
    </xf>
    <xf numFmtId="0" fontId="0" fillId="11" borderId="14" xfId="0" applyFill="1" applyBorder="1" applyAlignment="1">
      <alignment wrapText="1"/>
    </xf>
    <xf numFmtId="168" fontId="2" fillId="10" borderId="5" xfId="0" applyNumberFormat="1" applyFont="1" applyFill="1" applyBorder="1" applyAlignment="1">
      <alignment vertical="center"/>
    </xf>
    <xf numFmtId="0" fontId="20" fillId="9" borderId="4" xfId="0" applyFont="1" applyFill="1" applyBorder="1" applyAlignment="1">
      <alignment horizontal="left" vertical="center"/>
    </xf>
    <xf numFmtId="0" fontId="0" fillId="11" borderId="5" xfId="0" applyFill="1" applyBorder="1" applyAlignment="1">
      <alignment wrapText="1"/>
    </xf>
    <xf numFmtId="0" fontId="20" fillId="9" borderId="16" xfId="0" applyFont="1" applyFill="1" applyBorder="1" applyAlignment="1">
      <alignment horizontal="left" vertical="center"/>
    </xf>
    <xf numFmtId="0" fontId="20" fillId="9" borderId="17" xfId="0" applyFont="1" applyFill="1" applyBorder="1"/>
    <xf numFmtId="0" fontId="15" fillId="9" borderId="4" xfId="0" applyFont="1" applyFill="1" applyBorder="1" applyAlignment="1">
      <alignment horizontal="center" vertical="center" wrapText="1"/>
    </xf>
    <xf numFmtId="168" fontId="2" fillId="10" borderId="4" xfId="0" applyNumberFormat="1" applyFont="1" applyFill="1" applyBorder="1" applyAlignment="1">
      <alignment vertical="center"/>
    </xf>
    <xf numFmtId="3" fontId="2" fillId="10" borderId="4" xfId="0" applyNumberFormat="1" applyFont="1" applyFill="1" applyBorder="1" applyAlignment="1">
      <alignment vertical="center"/>
    </xf>
    <xf numFmtId="0" fontId="0" fillId="11" borderId="21" xfId="0" applyFill="1" applyBorder="1" applyAlignment="1">
      <alignment wrapText="1"/>
    </xf>
    <xf numFmtId="0" fontId="0" fillId="11" borderId="12" xfId="0" applyFill="1" applyBorder="1" applyAlignment="1">
      <alignment wrapText="1"/>
    </xf>
    <xf numFmtId="0" fontId="20" fillId="11" borderId="12" xfId="0" applyFont="1" applyFill="1" applyBorder="1" applyAlignment="1">
      <alignment wrapText="1"/>
    </xf>
    <xf numFmtId="0" fontId="23" fillId="11" borderId="5" xfId="0" applyFont="1" applyFill="1" applyBorder="1" applyAlignment="1">
      <alignment wrapText="1"/>
    </xf>
    <xf numFmtId="0" fontId="12" fillId="0" borderId="0" xfId="0" applyFont="1"/>
    <xf numFmtId="0" fontId="24" fillId="0" borderId="0" xfId="0" applyFont="1" applyAlignment="1">
      <alignment vertical="center"/>
    </xf>
    <xf numFmtId="0" fontId="25" fillId="0" borderId="0" xfId="0" applyFont="1" applyAlignment="1">
      <alignment vertical="center"/>
    </xf>
    <xf numFmtId="0" fontId="26" fillId="0" borderId="0" xfId="0" applyFont="1" applyAlignment="1">
      <alignment horizontal="center" vertical="center" wrapText="1"/>
    </xf>
    <xf numFmtId="0" fontId="27" fillId="0" borderId="0" xfId="0" applyFont="1" applyAlignment="1">
      <alignment horizontal="center" vertical="center"/>
    </xf>
    <xf numFmtId="0" fontId="28" fillId="0" borderId="0" xfId="0" applyFont="1" applyAlignment="1">
      <alignment horizontal="center" vertical="center" wrapText="1"/>
    </xf>
    <xf numFmtId="0" fontId="29" fillId="0" borderId="0" xfId="0" applyFont="1"/>
    <xf numFmtId="0" fontId="0" fillId="10" borderId="2" xfId="0" applyFill="1" applyBorder="1" applyAlignment="1">
      <alignment horizontal="center"/>
    </xf>
    <xf numFmtId="0" fontId="0" fillId="9" borderId="2" xfId="0" applyFill="1" applyBorder="1" applyAlignment="1">
      <alignment horizontal="center"/>
    </xf>
    <xf numFmtId="0" fontId="29" fillId="0" borderId="0" xfId="0" applyFont="1" applyAlignment="1">
      <alignment horizontal="right"/>
    </xf>
    <xf numFmtId="0" fontId="30" fillId="0" borderId="0" xfId="0" applyFont="1"/>
    <xf numFmtId="0" fontId="2" fillId="9" borderId="0" xfId="0" applyFont="1" applyFill="1" applyAlignment="1">
      <alignment horizontal="left" vertical="center"/>
    </xf>
    <xf numFmtId="0" fontId="2" fillId="9" borderId="0" xfId="0" applyFont="1" applyFill="1" applyAlignment="1">
      <alignment horizontal="center" vertical="center"/>
    </xf>
    <xf numFmtId="3" fontId="27" fillId="0" borderId="0" xfId="0" applyNumberFormat="1" applyFont="1" applyAlignment="1">
      <alignment horizontal="left" vertical="center"/>
    </xf>
    <xf numFmtId="10" fontId="2" fillId="9" borderId="0" xfId="0" applyNumberFormat="1" applyFont="1" applyFill="1" applyAlignment="1">
      <alignment horizontal="center" vertical="center"/>
    </xf>
    <xf numFmtId="0" fontId="27" fillId="0" borderId="0" xfId="0" applyFont="1" applyAlignment="1">
      <alignment horizontal="left" vertical="center" wrapText="1"/>
    </xf>
    <xf numFmtId="3" fontId="27" fillId="0" borderId="0" xfId="0" applyNumberFormat="1" applyFont="1" applyAlignment="1">
      <alignment horizontal="center" vertical="center"/>
    </xf>
    <xf numFmtId="17" fontId="27" fillId="0" borderId="0" xfId="0" applyNumberFormat="1" applyFont="1" applyAlignment="1">
      <alignment horizontal="center"/>
    </xf>
    <xf numFmtId="165" fontId="2" fillId="11" borderId="22" xfId="18" applyFont="1" applyFill="1" applyBorder="1"/>
    <xf numFmtId="10" fontId="17" fillId="11" borderId="4" xfId="1" applyNumberFormat="1" applyFont="1" applyFill="1" applyBorder="1" applyAlignment="1" applyProtection="1">
      <alignment horizontal="center" vertical="center"/>
    </xf>
    <xf numFmtId="0" fontId="33" fillId="0" borderId="0" xfId="0" applyFont="1"/>
    <xf numFmtId="165" fontId="2" fillId="11" borderId="23" xfId="18" applyFont="1" applyFill="1" applyBorder="1"/>
    <xf numFmtId="165" fontId="2" fillId="11" borderId="18" xfId="18" applyFont="1" applyFill="1" applyBorder="1"/>
    <xf numFmtId="165" fontId="2" fillId="11" borderId="22" xfId="18" applyFont="1" applyFill="1" applyBorder="1" applyAlignment="1">
      <alignment horizontal="left" vertical="center" wrapText="1"/>
    </xf>
    <xf numFmtId="165" fontId="2" fillId="11" borderId="23" xfId="18" applyFont="1" applyFill="1" applyBorder="1" applyAlignment="1">
      <alignment horizontal="left" vertical="center" wrapText="1"/>
    </xf>
    <xf numFmtId="170" fontId="0" fillId="0" borderId="0" xfId="0" applyNumberFormat="1"/>
    <xf numFmtId="165" fontId="2" fillId="0" borderId="0" xfId="18" applyFont="1" applyAlignment="1">
      <alignment horizontal="center" vertical="center"/>
    </xf>
    <xf numFmtId="171" fontId="23" fillId="0" borderId="0" xfId="1" applyNumberFormat="1" applyFont="1" applyBorder="1" applyAlignment="1" applyProtection="1">
      <alignment horizontal="center" vertical="center"/>
    </xf>
    <xf numFmtId="10" fontId="23" fillId="0" borderId="0" xfId="3" applyNumberFormat="1" applyFont="1" applyBorder="1" applyAlignment="1" applyProtection="1">
      <alignment horizontal="center" vertical="center"/>
    </xf>
    <xf numFmtId="0" fontId="2" fillId="9" borderId="4" xfId="0" applyFont="1" applyFill="1" applyBorder="1" applyAlignment="1">
      <alignment horizontal="center" vertical="center"/>
    </xf>
    <xf numFmtId="172" fontId="23" fillId="10" borderId="4" xfId="1" applyNumberFormat="1" applyFont="1" applyFill="1" applyBorder="1" applyAlignment="1" applyProtection="1">
      <alignment horizontal="right" vertical="center"/>
    </xf>
    <xf numFmtId="173" fontId="23" fillId="10" borderId="4" xfId="1" applyNumberFormat="1" applyFont="1" applyFill="1" applyBorder="1" applyAlignment="1" applyProtection="1">
      <alignment horizontal="left" vertical="center"/>
    </xf>
    <xf numFmtId="174" fontId="23" fillId="10" borderId="4" xfId="1" applyNumberFormat="1" applyFont="1" applyFill="1" applyBorder="1" applyAlignment="1" applyProtection="1">
      <alignment horizontal="center" vertical="center"/>
    </xf>
    <xf numFmtId="171" fontId="31" fillId="10" borderId="4" xfId="20" applyNumberFormat="1" applyFont="1" applyFill="1" applyBorder="1" applyAlignment="1" applyProtection="1">
      <alignment horizontal="center" vertical="center"/>
    </xf>
    <xf numFmtId="169" fontId="31" fillId="0" borderId="0" xfId="0" applyNumberFormat="1" applyFont="1"/>
    <xf numFmtId="0" fontId="17" fillId="0" borderId="0" xfId="0" applyFont="1"/>
    <xf numFmtId="2" fontId="0" fillId="0" borderId="0" xfId="0" applyNumberFormat="1"/>
    <xf numFmtId="0" fontId="17" fillId="13" borderId="2" xfId="0" applyFont="1" applyFill="1" applyBorder="1" applyAlignment="1">
      <alignment horizontal="center" vertical="center" wrapText="1"/>
    </xf>
    <xf numFmtId="0" fontId="18" fillId="0" borderId="0" xfId="0" applyFont="1" applyAlignment="1">
      <alignment horizontal="center" vertical="center" wrapText="1"/>
    </xf>
    <xf numFmtId="0" fontId="20" fillId="9" borderId="2" xfId="0" applyFont="1" applyFill="1" applyBorder="1" applyAlignment="1">
      <alignment horizontal="center" vertical="center"/>
    </xf>
    <xf numFmtId="0" fontId="0" fillId="11" borderId="2" xfId="0" applyFill="1" applyBorder="1" applyAlignment="1">
      <alignment vertical="center" wrapText="1"/>
    </xf>
    <xf numFmtId="2" fontId="20" fillId="11" borderId="2" xfId="0" applyNumberFormat="1" applyFont="1" applyFill="1" applyBorder="1" applyAlignment="1">
      <alignment horizontal="right" vertical="center"/>
    </xf>
    <xf numFmtId="2" fontId="12" fillId="10" borderId="2" xfId="0" applyNumberFormat="1" applyFont="1" applyFill="1" applyBorder="1"/>
    <xf numFmtId="174" fontId="12" fillId="11" borderId="2" xfId="1" applyNumberFormat="1" applyFont="1" applyFill="1" applyBorder="1" applyProtection="1"/>
    <xf numFmtId="175" fontId="12" fillId="10" borderId="2" xfId="1" applyNumberFormat="1" applyFont="1" applyFill="1" applyBorder="1" applyProtection="1"/>
    <xf numFmtId="0" fontId="21" fillId="9" borderId="3" xfId="0" applyFont="1" applyFill="1" applyBorder="1" applyAlignment="1">
      <alignment horizontal="center"/>
    </xf>
    <xf numFmtId="9" fontId="53" fillId="11" borderId="2" xfId="1" applyNumberFormat="1" applyFill="1" applyBorder="1" applyProtection="1"/>
    <xf numFmtId="0" fontId="17" fillId="9" borderId="2" xfId="0" applyFont="1" applyFill="1" applyBorder="1" applyAlignment="1">
      <alignment horizontal="center" vertical="center"/>
    </xf>
    <xf numFmtId="10" fontId="20" fillId="11" borderId="2" xfId="0" applyNumberFormat="1" applyFont="1" applyFill="1" applyBorder="1" applyAlignment="1">
      <alignment horizontal="right" vertical="center"/>
    </xf>
    <xf numFmtId="2" fontId="21" fillId="10" borderId="2" xfId="0" applyNumberFormat="1" applyFont="1" applyFill="1" applyBorder="1"/>
    <xf numFmtId="0" fontId="17" fillId="9" borderId="2" xfId="0" applyFont="1" applyFill="1" applyBorder="1" applyAlignment="1">
      <alignment horizontal="center" vertical="center" wrapText="1"/>
    </xf>
    <xf numFmtId="176" fontId="20" fillId="10" borderId="2" xfId="0" applyNumberFormat="1" applyFont="1" applyFill="1" applyBorder="1" applyAlignment="1">
      <alignment horizontal="right" vertical="center"/>
    </xf>
    <xf numFmtId="0" fontId="21" fillId="9" borderId="3" xfId="1" applyNumberFormat="1" applyFont="1" applyFill="1" applyBorder="1" applyAlignment="1" applyProtection="1">
      <alignment horizontal="center"/>
    </xf>
    <xf numFmtId="2" fontId="20" fillId="10" borderId="2" xfId="0" applyNumberFormat="1" applyFont="1" applyFill="1" applyBorder="1" applyAlignment="1">
      <alignment horizontal="right" vertical="center"/>
    </xf>
    <xf numFmtId="0" fontId="0" fillId="11" borderId="2" xfId="0" applyFill="1" applyBorder="1"/>
    <xf numFmtId="177" fontId="17" fillId="10" borderId="2" xfId="0" applyNumberFormat="1" applyFont="1" applyFill="1" applyBorder="1"/>
    <xf numFmtId="0" fontId="17" fillId="9" borderId="2" xfId="0" applyFont="1" applyFill="1" applyBorder="1" applyAlignment="1">
      <alignment horizontal="center"/>
    </xf>
    <xf numFmtId="0" fontId="0" fillId="11" borderId="0" xfId="0" applyFill="1"/>
    <xf numFmtId="2" fontId="20" fillId="10" borderId="2" xfId="0" applyNumberFormat="1" applyFont="1" applyFill="1" applyBorder="1" applyAlignment="1">
      <alignment horizontal="center" vertical="center"/>
    </xf>
    <xf numFmtId="0" fontId="17" fillId="0" borderId="0" xfId="0" applyFont="1" applyAlignment="1">
      <alignment horizontal="center"/>
    </xf>
    <xf numFmtId="10" fontId="20" fillId="10" borderId="2" xfId="0" applyNumberFormat="1" applyFont="1" applyFill="1" applyBorder="1" applyAlignment="1">
      <alignment horizontal="right" vertical="center"/>
    </xf>
    <xf numFmtId="0" fontId="20" fillId="10" borderId="2" xfId="0" applyFont="1" applyFill="1" applyBorder="1" applyAlignment="1">
      <alignment horizontal="right" vertical="center"/>
    </xf>
    <xf numFmtId="10" fontId="2" fillId="10" borderId="2" xfId="0" applyNumberFormat="1" applyFont="1" applyFill="1" applyBorder="1" applyAlignment="1">
      <alignment horizontal="right" vertical="center"/>
    </xf>
    <xf numFmtId="178" fontId="0" fillId="0" borderId="0" xfId="0" applyNumberFormat="1"/>
    <xf numFmtId="10" fontId="0" fillId="0" borderId="0" xfId="0" applyNumberFormat="1"/>
    <xf numFmtId="0" fontId="2" fillId="11" borderId="2" xfId="0" applyFont="1" applyFill="1" applyBorder="1" applyAlignment="1">
      <alignment horizontal="center" vertical="center" wrapText="1"/>
    </xf>
    <xf numFmtId="3" fontId="17" fillId="10" borderId="2" xfId="0" applyNumberFormat="1" applyFont="1" applyFill="1" applyBorder="1" applyAlignment="1">
      <alignment horizontal="center" vertical="center"/>
    </xf>
    <xf numFmtId="0" fontId="2" fillId="11" borderId="2" xfId="0" applyFont="1" applyFill="1" applyBorder="1" applyAlignment="1">
      <alignment horizontal="center" vertical="center"/>
    </xf>
    <xf numFmtId="0" fontId="2" fillId="10" borderId="2" xfId="0" applyFont="1" applyFill="1" applyBorder="1" applyAlignment="1">
      <alignment horizontal="center" vertical="center"/>
    </xf>
    <xf numFmtId="4" fontId="2" fillId="10" borderId="2" xfId="0" applyNumberFormat="1" applyFont="1" applyFill="1" applyBorder="1" applyAlignment="1">
      <alignment horizontal="center" vertical="center"/>
    </xf>
    <xf numFmtId="180" fontId="2" fillId="10" borderId="2" xfId="1" applyNumberFormat="1" applyFont="1" applyFill="1" applyBorder="1" applyAlignment="1" applyProtection="1">
      <alignment horizontal="center" vertical="center"/>
    </xf>
    <xf numFmtId="0" fontId="35" fillId="0" borderId="0" xfId="0" applyFont="1"/>
    <xf numFmtId="4" fontId="17" fillId="11" borderId="2" xfId="0" applyNumberFormat="1" applyFont="1" applyFill="1" applyBorder="1" applyAlignment="1">
      <alignment horizontal="center" vertical="center"/>
    </xf>
    <xf numFmtId="0" fontId="2" fillId="9" borderId="2" xfId="0" applyFont="1" applyFill="1" applyBorder="1" applyAlignment="1">
      <alignment horizontal="center" vertical="center" wrapText="1"/>
    </xf>
    <xf numFmtId="3" fontId="17" fillId="11" borderId="2" xfId="0" applyNumberFormat="1" applyFont="1" applyFill="1" applyBorder="1" applyAlignment="1">
      <alignment horizontal="center" vertical="center"/>
    </xf>
    <xf numFmtId="169" fontId="17" fillId="10" borderId="2" xfId="0" applyNumberFormat="1" applyFont="1" applyFill="1" applyBorder="1" applyAlignment="1">
      <alignment horizontal="center" vertical="center"/>
    </xf>
    <xf numFmtId="174" fontId="2" fillId="9" borderId="2" xfId="0" applyNumberFormat="1" applyFont="1" applyFill="1" applyBorder="1" applyAlignment="1">
      <alignment horizontal="center"/>
    </xf>
    <xf numFmtId="0" fontId="2" fillId="9" borderId="2" xfId="0" applyFont="1" applyFill="1" applyBorder="1" applyAlignment="1">
      <alignment horizontal="center"/>
    </xf>
    <xf numFmtId="168" fontId="2" fillId="11" borderId="2" xfId="0" applyNumberFormat="1" applyFont="1" applyFill="1" applyBorder="1" applyAlignment="1">
      <alignment horizontal="center" vertical="center" wrapText="1"/>
    </xf>
    <xf numFmtId="3" fontId="2" fillId="11" borderId="2" xfId="0" applyNumberFormat="1" applyFont="1" applyFill="1" applyBorder="1" applyAlignment="1">
      <alignment horizontal="center" vertical="center" wrapText="1"/>
    </xf>
    <xf numFmtId="174" fontId="2" fillId="10" borderId="2" xfId="0" applyNumberFormat="1" applyFont="1" applyFill="1" applyBorder="1" applyAlignment="1">
      <alignment horizontal="center"/>
    </xf>
    <xf numFmtId="181" fontId="2" fillId="10" borderId="2" xfId="0" applyNumberFormat="1" applyFont="1" applyFill="1" applyBorder="1" applyAlignment="1">
      <alignment horizontal="center" vertical="center" wrapText="1"/>
    </xf>
    <xf numFmtId="182" fontId="2" fillId="10" borderId="2" xfId="0" applyNumberFormat="1" applyFont="1" applyFill="1" applyBorder="1" applyAlignment="1">
      <alignment horizontal="center" vertical="center" wrapText="1"/>
    </xf>
    <xf numFmtId="0" fontId="23" fillId="0" borderId="0" xfId="0" applyFont="1"/>
    <xf numFmtId="3" fontId="2" fillId="10" borderId="2" xfId="0" applyNumberFormat="1" applyFont="1" applyFill="1" applyBorder="1" applyAlignment="1">
      <alignment horizontal="center" vertical="center" wrapText="1"/>
    </xf>
    <xf numFmtId="169" fontId="2" fillId="10" borderId="2" xfId="0" applyNumberFormat="1" applyFont="1" applyFill="1" applyBorder="1" applyAlignment="1">
      <alignment horizontal="center" vertical="center" wrapText="1"/>
    </xf>
    <xf numFmtId="183" fontId="2" fillId="10" borderId="2" xfId="0" applyNumberFormat="1"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2" borderId="0" xfId="0" applyFill="1" applyAlignment="1">
      <alignment horizontal="center"/>
    </xf>
    <xf numFmtId="169" fontId="0" fillId="0" borderId="0" xfId="0" applyNumberFormat="1" applyAlignment="1">
      <alignment horizontal="right"/>
    </xf>
    <xf numFmtId="169" fontId="0" fillId="0" borderId="0" xfId="0" applyNumberFormat="1" applyAlignment="1">
      <alignment horizontal="center"/>
    </xf>
    <xf numFmtId="0" fontId="0" fillId="9" borderId="2" xfId="0" applyFill="1" applyBorder="1" applyAlignment="1">
      <alignment horizontal="center" vertical="center"/>
    </xf>
    <xf numFmtId="0" fontId="0" fillId="9" borderId="0" xfId="0" applyFill="1"/>
    <xf numFmtId="0" fontId="0" fillId="2" borderId="2" xfId="0" applyFill="1" applyBorder="1" applyAlignment="1">
      <alignment horizontal="center"/>
    </xf>
    <xf numFmtId="176" fontId="17" fillId="9" borderId="2" xfId="0" applyNumberFormat="1" applyFont="1" applyFill="1" applyBorder="1" applyAlignment="1">
      <alignment horizontal="center"/>
    </xf>
    <xf numFmtId="0" fontId="18" fillId="9" borderId="2" xfId="0" applyFont="1" applyFill="1" applyBorder="1" applyAlignment="1">
      <alignment horizontal="center" vertical="center" wrapText="1"/>
    </xf>
    <xf numFmtId="0" fontId="18" fillId="9" borderId="0" xfId="0" applyFont="1" applyFill="1" applyAlignment="1">
      <alignment horizontal="center" wrapText="1"/>
    </xf>
    <xf numFmtId="176" fontId="18" fillId="9" borderId="2" xfId="0" applyNumberFormat="1" applyFont="1" applyFill="1" applyBorder="1" applyAlignment="1">
      <alignment horizontal="center" vertical="center" wrapText="1"/>
    </xf>
    <xf numFmtId="0" fontId="37" fillId="11" borderId="2" xfId="0" applyFont="1" applyFill="1" applyBorder="1" applyAlignment="1">
      <alignment horizontal="center" vertical="center" wrapText="1"/>
    </xf>
    <xf numFmtId="0" fontId="37" fillId="11" borderId="2" xfId="0" applyFont="1" applyFill="1" applyBorder="1" applyAlignment="1">
      <alignment horizontal="left" wrapText="1"/>
    </xf>
    <xf numFmtId="0" fontId="37" fillId="11" borderId="2" xfId="0" applyFont="1" applyFill="1" applyBorder="1" applyAlignment="1">
      <alignment horizontal="center" wrapText="1"/>
    </xf>
    <xf numFmtId="1" fontId="37" fillId="11" borderId="2" xfId="0" applyNumberFormat="1" applyFont="1" applyFill="1" applyBorder="1" applyAlignment="1">
      <alignment horizontal="center" wrapText="1"/>
    </xf>
    <xf numFmtId="1" fontId="37" fillId="10" borderId="2" xfId="0" applyNumberFormat="1" applyFont="1" applyFill="1" applyBorder="1" applyAlignment="1">
      <alignment horizontal="center" wrapText="1"/>
    </xf>
    <xf numFmtId="169" fontId="37" fillId="11" borderId="2" xfId="0" applyNumberFormat="1" applyFont="1" applyFill="1" applyBorder="1" applyAlignment="1">
      <alignment horizontal="right" wrapText="1"/>
    </xf>
    <xf numFmtId="0" fontId="0" fillId="11" borderId="2" xfId="0" applyFill="1" applyBorder="1" applyAlignment="1">
      <alignment horizontal="center"/>
    </xf>
    <xf numFmtId="2" fontId="37" fillId="11" borderId="2" xfId="0" applyNumberFormat="1" applyFont="1" applyFill="1" applyBorder="1" applyAlignment="1">
      <alignment horizontal="center" wrapText="1"/>
    </xf>
    <xf numFmtId="166" fontId="0" fillId="11" borderId="0" xfId="1" applyFont="1" applyFill="1" applyBorder="1" applyProtection="1"/>
    <xf numFmtId="169" fontId="0" fillId="11" borderId="2" xfId="0" applyNumberFormat="1" applyFill="1" applyBorder="1" applyAlignment="1">
      <alignment horizontal="center"/>
    </xf>
    <xf numFmtId="176" fontId="37" fillId="11" borderId="2" xfId="0" applyNumberFormat="1" applyFont="1" applyFill="1" applyBorder="1" applyAlignment="1">
      <alignment horizontal="right" wrapText="1"/>
    </xf>
    <xf numFmtId="169" fontId="23" fillId="11" borderId="2" xfId="0" applyNumberFormat="1" applyFont="1" applyFill="1" applyBorder="1" applyAlignment="1">
      <alignment horizontal="right" wrapText="1"/>
    </xf>
    <xf numFmtId="2" fontId="37" fillId="11" borderId="2" xfId="0" applyNumberFormat="1" applyFont="1" applyFill="1" applyBorder="1" applyAlignment="1">
      <alignment horizontal="center" vertical="center" wrapText="1"/>
    </xf>
    <xf numFmtId="169" fontId="0" fillId="11" borderId="0" xfId="1" applyNumberFormat="1" applyFont="1" applyFill="1" applyBorder="1" applyProtection="1"/>
    <xf numFmtId="0" fontId="37" fillId="11" borderId="2" xfId="0" applyFont="1" applyFill="1" applyBorder="1" applyAlignment="1">
      <alignment horizontal="left" vertical="center" wrapText="1"/>
    </xf>
    <xf numFmtId="0" fontId="37" fillId="11" borderId="2" xfId="0" applyFont="1" applyFill="1" applyBorder="1" applyAlignment="1">
      <alignment vertical="center" wrapText="1"/>
    </xf>
    <xf numFmtId="0" fontId="0" fillId="11" borderId="2" xfId="0" applyFill="1" applyBorder="1" applyAlignment="1">
      <alignment vertical="center"/>
    </xf>
    <xf numFmtId="176" fontId="37" fillId="11" borderId="2" xfId="0" applyNumberFormat="1" applyFont="1" applyFill="1" applyBorder="1" applyAlignment="1">
      <alignment horizontal="right" vertical="center" wrapText="1"/>
    </xf>
    <xf numFmtId="169" fontId="37" fillId="11" borderId="2" xfId="0" applyNumberFormat="1" applyFont="1" applyFill="1" applyBorder="1" applyAlignment="1">
      <alignment horizontal="right" vertical="center" wrapText="1"/>
    </xf>
    <xf numFmtId="1" fontId="37" fillId="11" borderId="2" xfId="0" applyNumberFormat="1" applyFont="1" applyFill="1" applyBorder="1" applyAlignment="1">
      <alignment horizontal="center" vertical="center" wrapText="1"/>
    </xf>
    <xf numFmtId="0" fontId="37" fillId="11" borderId="2" xfId="0" applyFont="1" applyFill="1" applyBorder="1" applyAlignment="1">
      <alignment horizontal="left"/>
    </xf>
    <xf numFmtId="0" fontId="0" fillId="11" borderId="2" xfId="0" applyFill="1" applyBorder="1" applyAlignment="1">
      <alignment horizontal="center" vertical="center"/>
    </xf>
    <xf numFmtId="0" fontId="37" fillId="11" borderId="2" xfId="0" applyFont="1" applyFill="1" applyBorder="1"/>
    <xf numFmtId="0" fontId="12" fillId="11" borderId="0" xfId="0" applyFont="1" applyFill="1" applyAlignment="1">
      <alignment horizontal="center"/>
    </xf>
    <xf numFmtId="0" fontId="0" fillId="11" borderId="0" xfId="0" applyFill="1" applyAlignment="1">
      <alignment horizontal="center" vertical="center"/>
    </xf>
    <xf numFmtId="0" fontId="0" fillId="2" borderId="2" xfId="0" applyFill="1" applyBorder="1" applyAlignment="1">
      <alignment horizontal="center" vertical="center"/>
    </xf>
    <xf numFmtId="1" fontId="37" fillId="10" borderId="2" xfId="0" applyNumberFormat="1" applyFont="1" applyFill="1" applyBorder="1" applyAlignment="1">
      <alignment horizontal="center" vertical="center" wrapText="1"/>
    </xf>
    <xf numFmtId="0" fontId="37" fillId="11" borderId="25" xfId="0" applyFont="1" applyFill="1" applyBorder="1" applyAlignment="1">
      <alignment horizontal="center" vertical="center" wrapText="1"/>
    </xf>
    <xf numFmtId="0" fontId="37" fillId="11" borderId="25" xfId="0" applyFont="1" applyFill="1" applyBorder="1" applyAlignment="1">
      <alignment horizontal="left" wrapText="1"/>
    </xf>
    <xf numFmtId="0" fontId="37" fillId="11" borderId="25" xfId="0" applyFont="1" applyFill="1" applyBorder="1" applyAlignment="1">
      <alignment horizontal="center" wrapText="1"/>
    </xf>
    <xf numFmtId="2" fontId="37" fillId="11" borderId="25" xfId="0" applyNumberFormat="1" applyFont="1" applyFill="1" applyBorder="1" applyAlignment="1">
      <alignment horizontal="center" wrapText="1"/>
    </xf>
    <xf numFmtId="0" fontId="0" fillId="2" borderId="25" xfId="0" applyFill="1" applyBorder="1" applyAlignment="1">
      <alignment horizontal="center"/>
    </xf>
    <xf numFmtId="1" fontId="37" fillId="10" borderId="25" xfId="0" applyNumberFormat="1" applyFont="1" applyFill="1" applyBorder="1" applyAlignment="1">
      <alignment horizontal="center" wrapText="1"/>
    </xf>
    <xf numFmtId="169" fontId="37" fillId="11" borderId="25" xfId="0" applyNumberFormat="1" applyFont="1" applyFill="1" applyBorder="1" applyAlignment="1">
      <alignment horizontal="right" wrapText="1"/>
    </xf>
    <xf numFmtId="0" fontId="0" fillId="11" borderId="25" xfId="0" applyFill="1" applyBorder="1" applyAlignment="1">
      <alignment horizontal="center"/>
    </xf>
    <xf numFmtId="0" fontId="39" fillId="0" borderId="0" xfId="0" applyFont="1"/>
    <xf numFmtId="0" fontId="39" fillId="0" borderId="0" xfId="0" applyFont="1" applyAlignment="1">
      <alignment horizontal="left"/>
    </xf>
    <xf numFmtId="0" fontId="41" fillId="12" borderId="4" xfId="0" applyFont="1" applyFill="1" applyBorder="1" applyAlignment="1" applyProtection="1">
      <alignment horizontal="center"/>
      <protection locked="0"/>
    </xf>
    <xf numFmtId="0" fontId="39" fillId="0" borderId="0" xfId="0" applyFont="1" applyAlignment="1">
      <alignment vertical="center" wrapText="1"/>
    </xf>
    <xf numFmtId="0" fontId="39" fillId="9" borderId="26" xfId="0" applyFont="1" applyFill="1" applyBorder="1" applyAlignment="1">
      <alignment horizontal="center" vertical="center"/>
    </xf>
    <xf numFmtId="184" fontId="0" fillId="0" borderId="0" xfId="0" applyNumberFormat="1"/>
    <xf numFmtId="9" fontId="0" fillId="0" borderId="0" xfId="0" applyNumberFormat="1"/>
    <xf numFmtId="2" fontId="39" fillId="0" borderId="0" xfId="0" applyNumberFormat="1" applyFont="1"/>
    <xf numFmtId="0" fontId="39" fillId="9" borderId="29" xfId="0" applyFont="1" applyFill="1" applyBorder="1" applyAlignment="1">
      <alignment horizontal="center" vertical="center"/>
    </xf>
    <xf numFmtId="0" fontId="39" fillId="9" borderId="31" xfId="0" applyFont="1" applyFill="1" applyBorder="1" applyAlignment="1">
      <alignment horizontal="center" vertical="center"/>
    </xf>
    <xf numFmtId="2" fontId="40" fillId="10" borderId="4" xfId="0" applyNumberFormat="1" applyFont="1" applyFill="1" applyBorder="1" applyAlignment="1">
      <alignment horizontal="center" vertical="center"/>
    </xf>
    <xf numFmtId="0" fontId="41" fillId="12" borderId="4" xfId="0" applyFont="1" applyFill="1" applyBorder="1" applyAlignment="1" applyProtection="1">
      <alignment horizontal="center" vertical="center"/>
      <protection locked="0"/>
    </xf>
    <xf numFmtId="9" fontId="12" fillId="0" borderId="0" xfId="3" applyFont="1" applyBorder="1" applyProtection="1"/>
    <xf numFmtId="0" fontId="21" fillId="0" borderId="0" xfId="1" applyNumberFormat="1" applyFont="1" applyBorder="1" applyAlignment="1" applyProtection="1">
      <alignment horizontal="center"/>
    </xf>
    <xf numFmtId="9" fontId="21" fillId="0" borderId="0" xfId="3" applyFont="1" applyBorder="1" applyAlignment="1" applyProtection="1">
      <alignment horizontal="center"/>
    </xf>
    <xf numFmtId="185" fontId="0" fillId="0" borderId="0" xfId="0" applyNumberFormat="1"/>
    <xf numFmtId="1" fontId="0" fillId="0" borderId="0" xfId="0" applyNumberFormat="1"/>
    <xf numFmtId="187" fontId="12" fillId="0" borderId="0" xfId="2" applyNumberFormat="1" applyFont="1" applyBorder="1" applyProtection="1"/>
    <xf numFmtId="185" fontId="12" fillId="0" borderId="0" xfId="3" applyNumberFormat="1" applyFont="1" applyBorder="1" applyProtection="1"/>
    <xf numFmtId="2" fontId="45" fillId="10" borderId="4" xfId="0" applyNumberFormat="1" applyFont="1" applyFill="1" applyBorder="1" applyAlignment="1">
      <alignment horizontal="center" vertical="center"/>
    </xf>
    <xf numFmtId="0" fontId="0" fillId="0" borderId="0" xfId="0" applyAlignment="1">
      <alignment vertical="center"/>
    </xf>
    <xf numFmtId="0" fontId="41" fillId="12" borderId="4" xfId="0" applyFont="1" applyFill="1" applyBorder="1" applyProtection="1">
      <protection locked="0"/>
    </xf>
    <xf numFmtId="0" fontId="0" fillId="0" borderId="0" xfId="0" applyAlignment="1">
      <alignment horizontal="right"/>
    </xf>
    <xf numFmtId="0" fontId="37" fillId="10" borderId="2" xfId="0" applyFont="1" applyFill="1" applyBorder="1" applyAlignment="1">
      <alignment horizontal="center" vertical="center" wrapText="1"/>
    </xf>
    <xf numFmtId="0" fontId="37" fillId="10" borderId="2" xfId="0" applyFont="1" applyFill="1" applyBorder="1" applyAlignment="1">
      <alignment horizontal="left" vertical="center" wrapText="1"/>
    </xf>
    <xf numFmtId="3" fontId="46" fillId="11" borderId="2" xfId="0" applyNumberFormat="1" applyFont="1" applyFill="1" applyBorder="1" applyAlignment="1">
      <alignment horizontal="center" vertical="center" wrapText="1"/>
    </xf>
    <xf numFmtId="4" fontId="37" fillId="10" borderId="2" xfId="0" applyNumberFormat="1" applyFont="1" applyFill="1" applyBorder="1" applyAlignment="1">
      <alignment horizontal="right" vertical="center" wrapText="1"/>
    </xf>
    <xf numFmtId="0" fontId="0" fillId="9" borderId="5" xfId="0" applyFill="1" applyBorder="1" applyAlignment="1">
      <alignment horizontal="center" vertical="center"/>
    </xf>
    <xf numFmtId="0" fontId="0" fillId="9" borderId="7" xfId="0" applyFill="1" applyBorder="1" applyAlignment="1">
      <alignment horizontal="center" vertical="center" wrapText="1"/>
    </xf>
    <xf numFmtId="0" fontId="0" fillId="9" borderId="8" xfId="0" applyFill="1" applyBorder="1" applyAlignment="1">
      <alignment horizontal="center" vertical="center" wrapText="1"/>
    </xf>
    <xf numFmtId="0" fontId="0" fillId="0" borderId="0" xfId="0" applyAlignment="1">
      <alignment horizontal="left" vertical="center"/>
    </xf>
    <xf numFmtId="0" fontId="0" fillId="9" borderId="4" xfId="0" applyFill="1" applyBorder="1" applyAlignment="1">
      <alignment horizontal="left" vertical="center"/>
    </xf>
    <xf numFmtId="0" fontId="0" fillId="9" borderId="4" xfId="0" applyFill="1" applyBorder="1" applyAlignment="1">
      <alignment horizontal="left" vertical="center" wrapText="1"/>
    </xf>
    <xf numFmtId="0" fontId="0" fillId="11" borderId="37" xfId="0" applyFill="1" applyBorder="1" applyAlignment="1">
      <alignment horizontal="left" vertical="center"/>
    </xf>
    <xf numFmtId="0" fontId="0" fillId="11" borderId="38" xfId="0" applyFill="1" applyBorder="1" applyAlignment="1">
      <alignment vertical="center"/>
    </xf>
    <xf numFmtId="0" fontId="0" fillId="11" borderId="37" xfId="0" applyFill="1" applyBorder="1" applyAlignment="1">
      <alignment horizontal="center" vertical="center"/>
    </xf>
    <xf numFmtId="166" fontId="0" fillId="11" borderId="39" xfId="0" applyNumberFormat="1" applyFill="1" applyBorder="1" applyAlignment="1">
      <alignment horizontal="center" vertical="center"/>
    </xf>
    <xf numFmtId="0" fontId="0" fillId="11" borderId="39" xfId="0" applyFill="1" applyBorder="1" applyAlignment="1">
      <alignment horizontal="center" vertical="center"/>
    </xf>
    <xf numFmtId="186" fontId="12" fillId="10" borderId="39" xfId="2" applyFont="1" applyFill="1" applyBorder="1" applyAlignment="1" applyProtection="1">
      <alignment horizontal="center" vertical="center"/>
    </xf>
    <xf numFmtId="186" fontId="12" fillId="11" borderId="39" xfId="2" applyFont="1" applyFill="1" applyBorder="1" applyAlignment="1" applyProtection="1">
      <alignment horizontal="center" vertical="center"/>
    </xf>
    <xf numFmtId="186" fontId="12" fillId="10" borderId="38" xfId="2" applyFont="1" applyFill="1" applyBorder="1" applyAlignment="1" applyProtection="1">
      <alignment horizontal="center" vertical="center"/>
    </xf>
    <xf numFmtId="0" fontId="0" fillId="11" borderId="40" xfId="0" applyFill="1" applyBorder="1" applyAlignment="1">
      <alignment horizontal="left" vertical="center"/>
    </xf>
    <xf numFmtId="0" fontId="0" fillId="11" borderId="34" xfId="0" applyFill="1" applyBorder="1" applyAlignment="1">
      <alignment vertical="center"/>
    </xf>
    <xf numFmtId="0" fontId="0" fillId="11" borderId="40" xfId="0" applyFill="1" applyBorder="1" applyAlignment="1">
      <alignment horizontal="center" vertical="center"/>
    </xf>
    <xf numFmtId="166" fontId="0" fillId="11" borderId="26" xfId="0" applyNumberFormat="1" applyFill="1" applyBorder="1" applyAlignment="1">
      <alignment horizontal="center" vertical="center"/>
    </xf>
    <xf numFmtId="0" fontId="0" fillId="11" borderId="26" xfId="0" applyFill="1" applyBorder="1" applyAlignment="1">
      <alignment horizontal="center" vertical="center"/>
    </xf>
    <xf numFmtId="186" fontId="12" fillId="10" borderId="26" xfId="2" applyFont="1" applyFill="1" applyBorder="1" applyAlignment="1" applyProtection="1">
      <alignment horizontal="center" vertical="center"/>
    </xf>
    <xf numFmtId="186" fontId="12" fillId="11" borderId="26" xfId="2" applyFont="1" applyFill="1" applyBorder="1" applyAlignment="1" applyProtection="1">
      <alignment horizontal="center" vertical="center"/>
    </xf>
    <xf numFmtId="186" fontId="12" fillId="10" borderId="34" xfId="2" applyFont="1" applyFill="1" applyBorder="1" applyAlignment="1" applyProtection="1">
      <alignment horizontal="center" vertical="center"/>
    </xf>
    <xf numFmtId="0" fontId="0" fillId="11" borderId="34" xfId="0" applyFill="1" applyBorder="1" applyAlignment="1">
      <alignment vertical="center" wrapText="1"/>
    </xf>
    <xf numFmtId="0" fontId="0" fillId="11" borderId="41" xfId="0" applyFill="1" applyBorder="1" applyAlignment="1">
      <alignment horizontal="left" vertical="center"/>
    </xf>
    <xf numFmtId="0" fontId="0" fillId="11" borderId="42" xfId="0" applyFill="1" applyBorder="1" applyAlignment="1">
      <alignment vertical="center" wrapText="1"/>
    </xf>
    <xf numFmtId="0" fontId="0" fillId="11" borderId="41" xfId="0" applyFill="1" applyBorder="1" applyAlignment="1">
      <alignment horizontal="center" vertical="center"/>
    </xf>
    <xf numFmtId="166" fontId="0" fillId="11" borderId="35" xfId="0" applyNumberFormat="1" applyFill="1" applyBorder="1" applyAlignment="1">
      <alignment horizontal="center" vertical="center"/>
    </xf>
    <xf numFmtId="0" fontId="0" fillId="11" borderId="35" xfId="0" applyFill="1" applyBorder="1" applyAlignment="1">
      <alignment horizontal="center" vertical="center"/>
    </xf>
    <xf numFmtId="186" fontId="12" fillId="10" borderId="35" xfId="2" applyFont="1" applyFill="1" applyBorder="1" applyAlignment="1" applyProtection="1">
      <alignment horizontal="center" vertical="center"/>
    </xf>
    <xf numFmtId="186" fontId="12" fillId="11" borderId="35" xfId="2" applyFont="1" applyFill="1" applyBorder="1" applyAlignment="1" applyProtection="1">
      <alignment horizontal="center" vertical="center"/>
    </xf>
    <xf numFmtId="186" fontId="12" fillId="10" borderId="42" xfId="2" applyFont="1" applyFill="1" applyBorder="1" applyAlignment="1" applyProtection="1">
      <alignment horizontal="center" vertical="center"/>
    </xf>
    <xf numFmtId="171" fontId="20" fillId="9" borderId="31" xfId="0" applyNumberFormat="1" applyFont="1" applyFill="1" applyBorder="1" applyAlignment="1">
      <alignment vertical="center"/>
    </xf>
    <xf numFmtId="171" fontId="20" fillId="9" borderId="43" xfId="0" applyNumberFormat="1" applyFont="1" applyFill="1" applyBorder="1" applyAlignment="1">
      <alignment vertical="center"/>
    </xf>
    <xf numFmtId="174" fontId="0" fillId="0" borderId="0" xfId="0" applyNumberFormat="1" applyAlignment="1">
      <alignment horizontal="center" vertical="center"/>
    </xf>
    <xf numFmtId="0" fontId="0" fillId="0" borderId="0" xfId="0" applyAlignment="1">
      <alignment horizontal="center" vertical="top"/>
    </xf>
    <xf numFmtId="166" fontId="0" fillId="0" borderId="0" xfId="0" applyNumberFormat="1" applyAlignment="1">
      <alignment horizontal="center" vertical="center"/>
    </xf>
    <xf numFmtId="0" fontId="20" fillId="9" borderId="26" xfId="0" applyFont="1" applyFill="1" applyBorder="1" applyAlignment="1">
      <alignment horizontal="left" vertical="center"/>
    </xf>
    <xf numFmtId="0" fontId="20" fillId="9" borderId="26" xfId="0" applyFont="1" applyFill="1" applyBorder="1"/>
    <xf numFmtId="0" fontId="0" fillId="0" borderId="0" xfId="0" applyAlignment="1">
      <alignment wrapText="1"/>
    </xf>
    <xf numFmtId="0" fontId="0" fillId="11" borderId="39" xfId="0" applyFill="1" applyBorder="1" applyAlignment="1">
      <alignment horizontal="justify" vertical="center" wrapText="1"/>
    </xf>
    <xf numFmtId="166" fontId="12" fillId="11" borderId="39" xfId="1" applyFont="1" applyFill="1" applyBorder="1" applyAlignment="1" applyProtection="1">
      <alignment horizontal="center" vertical="center"/>
    </xf>
    <xf numFmtId="189" fontId="12" fillId="10" borderId="39" xfId="2" applyNumberFormat="1" applyFont="1" applyFill="1" applyBorder="1" applyAlignment="1" applyProtection="1">
      <alignment horizontal="center" vertical="center"/>
    </xf>
    <xf numFmtId="189" fontId="12" fillId="11" borderId="39" xfId="2" applyNumberFormat="1" applyFont="1" applyFill="1" applyBorder="1" applyAlignment="1" applyProtection="1">
      <alignment horizontal="center" vertical="center"/>
    </xf>
    <xf numFmtId="189" fontId="12" fillId="10" borderId="38" xfId="2" applyNumberFormat="1" applyFont="1" applyFill="1" applyBorder="1" applyAlignment="1" applyProtection="1">
      <alignment horizontal="center" vertical="center"/>
    </xf>
    <xf numFmtId="0" fontId="0" fillId="11" borderId="26" xfId="0" applyFill="1" applyBorder="1" applyAlignment="1">
      <alignment horizontal="justify" vertical="center" wrapText="1"/>
    </xf>
    <xf numFmtId="166" fontId="12" fillId="11" borderId="26" xfId="1" applyFont="1" applyFill="1" applyBorder="1" applyAlignment="1" applyProtection="1">
      <alignment horizontal="center" vertical="center"/>
    </xf>
    <xf numFmtId="189" fontId="12" fillId="10" borderId="26" xfId="2" applyNumberFormat="1" applyFont="1" applyFill="1" applyBorder="1" applyAlignment="1" applyProtection="1">
      <alignment horizontal="center" vertical="center"/>
    </xf>
    <xf numFmtId="189" fontId="12" fillId="11" borderId="26" xfId="2" applyNumberFormat="1" applyFont="1" applyFill="1" applyBorder="1" applyAlignment="1" applyProtection="1">
      <alignment horizontal="center" vertical="center"/>
    </xf>
    <xf numFmtId="189" fontId="12" fillId="10" borderId="34" xfId="2" applyNumberFormat="1" applyFont="1" applyFill="1" applyBorder="1" applyAlignment="1" applyProtection="1">
      <alignment horizontal="center" vertical="center"/>
    </xf>
    <xf numFmtId="0" fontId="0" fillId="11" borderId="35" xfId="0" applyFill="1" applyBorder="1" applyAlignment="1">
      <alignment horizontal="justify" vertical="center" wrapText="1"/>
    </xf>
    <xf numFmtId="166" fontId="12" fillId="11" borderId="35" xfId="1" applyFont="1" applyFill="1" applyBorder="1" applyAlignment="1" applyProtection="1">
      <alignment horizontal="center" vertical="center"/>
    </xf>
    <xf numFmtId="189" fontId="12" fillId="10" borderId="35" xfId="2" applyNumberFormat="1" applyFont="1" applyFill="1" applyBorder="1" applyAlignment="1" applyProtection="1">
      <alignment horizontal="center" vertical="center"/>
    </xf>
    <xf numFmtId="189" fontId="12" fillId="11" borderId="35" xfId="2" applyNumberFormat="1" applyFont="1" applyFill="1" applyBorder="1" applyAlignment="1" applyProtection="1">
      <alignment horizontal="center" vertical="center"/>
    </xf>
    <xf numFmtId="189" fontId="12" fillId="10" borderId="42" xfId="2" applyNumberFormat="1" applyFont="1" applyFill="1" applyBorder="1" applyAlignment="1" applyProtection="1">
      <alignment horizontal="center" vertical="center"/>
    </xf>
    <xf numFmtId="166" fontId="12" fillId="0" borderId="0" xfId="1" applyFont="1" applyBorder="1" applyAlignment="1" applyProtection="1">
      <alignment horizontal="center" vertical="center"/>
    </xf>
    <xf numFmtId="189" fontId="12" fillId="0" borderId="0" xfId="2" applyNumberFormat="1" applyFont="1" applyBorder="1" applyAlignment="1" applyProtection="1">
      <alignment horizontal="center" vertical="center"/>
    </xf>
    <xf numFmtId="0" fontId="47" fillId="0" borderId="0" xfId="0" applyFont="1"/>
    <xf numFmtId="0" fontId="20" fillId="9" borderId="0" xfId="0" applyFont="1" applyFill="1"/>
    <xf numFmtId="0" fontId="12" fillId="11" borderId="26" xfId="0" applyFont="1" applyFill="1" applyBorder="1" applyAlignment="1">
      <alignment horizontal="justify" vertical="center" wrapText="1"/>
    </xf>
    <xf numFmtId="0" fontId="0" fillId="0" borderId="0" xfId="0" applyAlignment="1">
      <alignment vertical="center" wrapText="1"/>
    </xf>
    <xf numFmtId="174" fontId="12" fillId="0" borderId="0" xfId="1" applyNumberFormat="1" applyFont="1" applyBorder="1" applyAlignment="1" applyProtection="1">
      <alignment horizontal="center" vertical="center"/>
    </xf>
    <xf numFmtId="0" fontId="20" fillId="0" borderId="0" xfId="0" applyFont="1" applyAlignment="1">
      <alignment horizontal="left" vertical="center"/>
    </xf>
    <xf numFmtId="0" fontId="20" fillId="0" borderId="0" xfId="0" applyFont="1"/>
    <xf numFmtId="174" fontId="12" fillId="11" borderId="26" xfId="1" applyNumberFormat="1" applyFont="1" applyFill="1" applyBorder="1" applyAlignment="1" applyProtection="1">
      <alignment horizontal="center" vertical="center"/>
    </xf>
    <xf numFmtId="190" fontId="12" fillId="10" borderId="26" xfId="2" applyNumberFormat="1" applyFont="1" applyFill="1" applyBorder="1" applyAlignment="1" applyProtection="1">
      <alignment horizontal="center" vertical="center"/>
    </xf>
    <xf numFmtId="190" fontId="0" fillId="11" borderId="26" xfId="0" applyNumberFormat="1" applyFill="1" applyBorder="1" applyAlignment="1">
      <alignment horizontal="center" vertical="center"/>
    </xf>
    <xf numFmtId="0" fontId="0" fillId="11" borderId="26" xfId="0" applyFill="1" applyBorder="1" applyAlignment="1">
      <alignment horizontal="left" vertical="center"/>
    </xf>
    <xf numFmtId="190" fontId="12" fillId="11" borderId="26" xfId="2" applyNumberFormat="1" applyFont="1" applyFill="1" applyBorder="1" applyAlignment="1" applyProtection="1">
      <alignment horizontal="center" vertical="center"/>
    </xf>
    <xf numFmtId="168" fontId="17" fillId="10" borderId="0" xfId="0" applyNumberFormat="1" applyFont="1" applyFill="1" applyAlignment="1">
      <alignment horizontal="center" vertical="center"/>
    </xf>
    <xf numFmtId="190" fontId="12" fillId="0" borderId="0" xfId="2" applyNumberFormat="1" applyFont="1" applyBorder="1" applyAlignment="1" applyProtection="1">
      <alignment horizontal="center" vertical="center"/>
    </xf>
    <xf numFmtId="191" fontId="53" fillId="0" borderId="0" xfId="2" applyNumberFormat="1" applyBorder="1" applyAlignment="1" applyProtection="1">
      <alignment horizontal="center" vertical="center"/>
    </xf>
    <xf numFmtId="191" fontId="53" fillId="0" borderId="0" xfId="2" applyNumberFormat="1" applyBorder="1" applyProtection="1"/>
    <xf numFmtId="189" fontId="0" fillId="0" borderId="0" xfId="0" applyNumberFormat="1" applyAlignment="1">
      <alignment horizontal="center" vertical="center"/>
    </xf>
    <xf numFmtId="0" fontId="0" fillId="11" borderId="38" xfId="0" applyFill="1" applyBorder="1" applyAlignment="1">
      <alignment horizontal="left" vertical="center" wrapText="1"/>
    </xf>
    <xf numFmtId="0" fontId="0" fillId="11" borderId="34" xfId="0" applyFill="1" applyBorder="1" applyAlignment="1">
      <alignment horizontal="left" vertical="center" wrapText="1"/>
    </xf>
    <xf numFmtId="0" fontId="0" fillId="11" borderId="42" xfId="0" applyFill="1" applyBorder="1" applyAlignment="1">
      <alignment horizontal="left" vertical="center" wrapText="1"/>
    </xf>
    <xf numFmtId="0" fontId="20" fillId="9" borderId="6" xfId="0" applyFont="1" applyFill="1" applyBorder="1" applyAlignment="1">
      <alignment horizontal="center" vertical="center"/>
    </xf>
    <xf numFmtId="171" fontId="20" fillId="10" borderId="8" xfId="0" applyNumberFormat="1" applyFont="1" applyFill="1" applyBorder="1" applyAlignment="1">
      <alignment vertical="center"/>
    </xf>
    <xf numFmtId="0" fontId="20" fillId="0" borderId="0" xfId="0" applyFont="1" applyAlignment="1">
      <alignment horizontal="center" vertical="top"/>
    </xf>
    <xf numFmtId="189" fontId="50" fillId="10" borderId="4" xfId="0" applyNumberFormat="1" applyFont="1" applyFill="1" applyBorder="1" applyAlignment="1">
      <alignment horizontal="center" vertical="center"/>
    </xf>
    <xf numFmtId="0" fontId="17" fillId="0" borderId="0" xfId="0" applyFont="1" applyAlignment="1">
      <alignment horizontal="center" vertical="center"/>
    </xf>
    <xf numFmtId="0" fontId="12" fillId="0" borderId="0" xfId="0" applyFont="1" applyAlignment="1">
      <alignment horizontal="justify"/>
    </xf>
    <xf numFmtId="0" fontId="51" fillId="0" borderId="0" xfId="0" applyFont="1" applyAlignment="1">
      <alignment horizontal="center" vertical="center"/>
    </xf>
    <xf numFmtId="0" fontId="52" fillId="9" borderId="4" xfId="0" applyFont="1" applyFill="1" applyBorder="1" applyAlignment="1">
      <alignment horizontal="center" vertical="center"/>
    </xf>
    <xf numFmtId="186" fontId="23" fillId="10" borderId="8" xfId="2" applyFont="1" applyFill="1" applyBorder="1" applyAlignment="1" applyProtection="1">
      <alignment horizontal="center" vertical="center"/>
    </xf>
    <xf numFmtId="0" fontId="12" fillId="11" borderId="4" xfId="0" applyFont="1" applyFill="1" applyBorder="1" applyAlignment="1">
      <alignment horizontal="center" vertical="center"/>
    </xf>
    <xf numFmtId="0" fontId="12" fillId="11" borderId="47" xfId="0" applyFont="1" applyFill="1" applyBorder="1" applyAlignment="1">
      <alignment horizontal="justify"/>
    </xf>
    <xf numFmtId="0" fontId="12" fillId="11" borderId="39" xfId="0" applyFont="1" applyFill="1" applyBorder="1" applyAlignment="1">
      <alignment horizontal="center" vertical="center"/>
    </xf>
    <xf numFmtId="192" fontId="12" fillId="11" borderId="39" xfId="24" applyFill="1" applyBorder="1" applyAlignment="1" applyProtection="1">
      <alignment horizontal="center" vertical="center"/>
    </xf>
    <xf numFmtId="192" fontId="12" fillId="10" borderId="39" xfId="24" applyFill="1" applyBorder="1" applyAlignment="1" applyProtection="1">
      <alignment horizontal="center" vertical="center"/>
    </xf>
    <xf numFmtId="0" fontId="12" fillId="11" borderId="13" xfId="0" applyFont="1" applyFill="1" applyBorder="1" applyAlignment="1">
      <alignment horizontal="center" vertical="center" wrapText="1"/>
    </xf>
    <xf numFmtId="0" fontId="12" fillId="0" borderId="0" xfId="0" applyFont="1" applyAlignment="1">
      <alignment vertical="center"/>
    </xf>
    <xf numFmtId="0" fontId="12" fillId="9" borderId="7" xfId="0" applyFont="1" applyFill="1" applyBorder="1" applyAlignment="1">
      <alignment horizontal="center" vertical="center" wrapText="1"/>
    </xf>
    <xf numFmtId="0" fontId="12" fillId="9" borderId="8" xfId="0" applyFont="1" applyFill="1" applyBorder="1" applyAlignment="1">
      <alignment horizontal="center" vertical="center" wrapText="1"/>
    </xf>
    <xf numFmtId="0" fontId="20" fillId="9" borderId="5" xfId="0" applyFont="1" applyFill="1" applyBorder="1" applyAlignment="1">
      <alignment horizontal="left" vertical="center"/>
    </xf>
    <xf numFmtId="190" fontId="12" fillId="10" borderId="39" xfId="2" applyNumberFormat="1" applyFont="1" applyFill="1" applyBorder="1" applyAlignment="1" applyProtection="1">
      <alignment horizontal="center" vertical="center"/>
    </xf>
    <xf numFmtId="190" fontId="12" fillId="11" borderId="39" xfId="2" applyNumberFormat="1" applyFont="1" applyFill="1" applyBorder="1" applyAlignment="1" applyProtection="1">
      <alignment horizontal="center" vertical="center"/>
    </xf>
    <xf numFmtId="193" fontId="0" fillId="10" borderId="39" xfId="0" applyNumberFormat="1" applyFill="1" applyBorder="1" applyAlignment="1">
      <alignment horizontal="center" vertical="center"/>
    </xf>
    <xf numFmtId="193" fontId="0" fillId="10" borderId="26" xfId="0" applyNumberFormat="1" applyFill="1" applyBorder="1" applyAlignment="1">
      <alignment horizontal="center" vertical="center"/>
    </xf>
    <xf numFmtId="190" fontId="12" fillId="10" borderId="35" xfId="2" applyNumberFormat="1" applyFont="1" applyFill="1" applyBorder="1" applyAlignment="1" applyProtection="1">
      <alignment horizontal="center" vertical="center"/>
    </xf>
    <xf numFmtId="190" fontId="12" fillId="11" borderId="35" xfId="2" applyNumberFormat="1" applyFont="1" applyFill="1" applyBorder="1" applyAlignment="1" applyProtection="1">
      <alignment horizontal="center" vertical="center"/>
    </xf>
    <xf numFmtId="193" fontId="0" fillId="10" borderId="35" xfId="0" applyNumberFormat="1" applyFill="1" applyBorder="1" applyAlignment="1">
      <alignment horizontal="center" vertical="center"/>
    </xf>
    <xf numFmtId="190" fontId="20" fillId="10" borderId="4" xfId="0" applyNumberFormat="1" applyFont="1" applyFill="1" applyBorder="1"/>
    <xf numFmtId="190" fontId="12" fillId="0" borderId="39" xfId="2" applyNumberFormat="1" applyFont="1" applyBorder="1" applyAlignment="1" applyProtection="1">
      <alignment horizontal="center" vertical="center"/>
    </xf>
    <xf numFmtId="193" fontId="0" fillId="0" borderId="39" xfId="0" applyNumberFormat="1" applyBorder="1" applyAlignment="1">
      <alignment horizontal="center" vertical="center"/>
    </xf>
    <xf numFmtId="190" fontId="0" fillId="0" borderId="38" xfId="0" applyNumberFormat="1" applyBorder="1" applyAlignment="1">
      <alignment horizontal="center" vertical="center"/>
    </xf>
    <xf numFmtId="190" fontId="12" fillId="0" borderId="26" xfId="2" applyNumberFormat="1" applyFont="1" applyBorder="1" applyAlignment="1" applyProtection="1">
      <alignment horizontal="center" vertical="center"/>
    </xf>
    <xf numFmtId="193" fontId="0" fillId="0" borderId="26" xfId="0" applyNumberFormat="1" applyBorder="1" applyAlignment="1">
      <alignment horizontal="center" vertical="center"/>
    </xf>
    <xf numFmtId="190" fontId="0" fillId="0" borderId="34" xfId="0" applyNumberFormat="1" applyBorder="1" applyAlignment="1">
      <alignment horizontal="center" vertical="center"/>
    </xf>
    <xf numFmtId="190" fontId="12" fillId="0" borderId="35" xfId="2" applyNumberFormat="1" applyFont="1" applyBorder="1" applyAlignment="1" applyProtection="1">
      <alignment horizontal="center" vertical="center"/>
    </xf>
    <xf numFmtId="193" fontId="0" fillId="0" borderId="35" xfId="0" applyNumberFormat="1" applyBorder="1" applyAlignment="1">
      <alignment horizontal="center" vertical="center"/>
    </xf>
    <xf numFmtId="190" fontId="0" fillId="0" borderId="42" xfId="0" applyNumberFormat="1" applyBorder="1" applyAlignment="1">
      <alignment horizontal="center" vertical="center"/>
    </xf>
    <xf numFmtId="0" fontId="0" fillId="0" borderId="0" xfId="0" applyAlignment="1">
      <alignment horizontal="center" vertical="center" wrapText="1"/>
    </xf>
    <xf numFmtId="0" fontId="0" fillId="9" borderId="6" xfId="0" applyFill="1" applyBorder="1" applyAlignment="1">
      <alignment horizontal="center" vertical="center"/>
    </xf>
    <xf numFmtId="177" fontId="0" fillId="10" borderId="8" xfId="0" applyNumberFormat="1" applyFill="1"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4" xfId="0" applyBorder="1" applyAlignment="1">
      <alignment horizontal="center" vertical="center" wrapText="1"/>
    </xf>
    <xf numFmtId="0" fontId="0" fillId="0" borderId="46" xfId="0" applyBorder="1" applyAlignment="1">
      <alignment horizontal="center" vertical="center" wrapText="1"/>
    </xf>
    <xf numFmtId="0" fontId="0" fillId="0" borderId="20" xfId="0" applyBorder="1" applyAlignment="1">
      <alignment horizontal="center" vertical="center" wrapText="1"/>
    </xf>
    <xf numFmtId="0" fontId="0" fillId="11" borderId="39" xfId="0" applyFill="1" applyBorder="1" applyAlignment="1">
      <alignment horizontal="center"/>
    </xf>
    <xf numFmtId="0" fontId="0" fillId="11" borderId="38" xfId="0" applyFill="1" applyBorder="1" applyAlignment="1">
      <alignment horizontal="center"/>
    </xf>
    <xf numFmtId="0" fontId="0" fillId="11" borderId="26" xfId="0" applyFill="1" applyBorder="1" applyAlignment="1">
      <alignment horizontal="center"/>
    </xf>
    <xf numFmtId="0" fontId="0" fillId="11" borderId="34" xfId="0" applyFill="1" applyBorder="1" applyAlignment="1">
      <alignment horizontal="center"/>
    </xf>
    <xf numFmtId="0" fontId="0" fillId="10" borderId="34" xfId="0" applyFill="1" applyBorder="1" applyAlignment="1">
      <alignment horizontal="center"/>
    </xf>
    <xf numFmtId="0" fontId="0" fillId="11" borderId="35" xfId="0" applyFill="1" applyBorder="1" applyAlignment="1">
      <alignment horizontal="center"/>
    </xf>
    <xf numFmtId="0" fontId="0" fillId="10" borderId="42" xfId="0" applyFill="1" applyBorder="1" applyAlignment="1">
      <alignment horizontal="center"/>
    </xf>
    <xf numFmtId="0" fontId="0" fillId="9" borderId="6" xfId="0" applyFill="1" applyBorder="1" applyAlignment="1">
      <alignment horizontal="center" vertical="center" wrapText="1"/>
    </xf>
    <xf numFmtId="0" fontId="0" fillId="9" borderId="7" xfId="0" applyFill="1" applyBorder="1" applyAlignment="1">
      <alignment horizontal="center" wrapText="1"/>
    </xf>
    <xf numFmtId="166" fontId="12" fillId="10" borderId="37" xfId="1" applyFont="1" applyFill="1" applyBorder="1" applyAlignment="1" applyProtection="1">
      <alignment horizontal="center"/>
    </xf>
    <xf numFmtId="166" fontId="12" fillId="10" borderId="39" xfId="1" applyFont="1" applyFill="1" applyBorder="1" applyAlignment="1" applyProtection="1">
      <alignment horizontal="center"/>
    </xf>
    <xf numFmtId="166" fontId="12" fillId="10" borderId="39" xfId="1" applyFont="1" applyFill="1" applyBorder="1" applyProtection="1"/>
    <xf numFmtId="0" fontId="0" fillId="10" borderId="39" xfId="0" applyFill="1" applyBorder="1"/>
    <xf numFmtId="166" fontId="0" fillId="10" borderId="38" xfId="0" applyNumberFormat="1" applyFill="1" applyBorder="1"/>
    <xf numFmtId="166" fontId="12" fillId="10" borderId="40" xfId="1" applyFont="1" applyFill="1" applyBorder="1" applyAlignment="1" applyProtection="1">
      <alignment horizontal="center"/>
    </xf>
    <xf numFmtId="166" fontId="12" fillId="10" borderId="26" xfId="1" applyFont="1" applyFill="1" applyBorder="1" applyAlignment="1" applyProtection="1">
      <alignment horizontal="center"/>
    </xf>
    <xf numFmtId="166" fontId="12" fillId="10" borderId="26" xfId="1" applyFont="1" applyFill="1" applyBorder="1" applyProtection="1"/>
    <xf numFmtId="0" fontId="0" fillId="10" borderId="26" xfId="0" applyFill="1" applyBorder="1"/>
    <xf numFmtId="166" fontId="0" fillId="10" borderId="34" xfId="0" applyNumberFormat="1" applyFill="1" applyBorder="1"/>
    <xf numFmtId="166" fontId="12" fillId="10" borderId="41" xfId="1" applyFont="1" applyFill="1" applyBorder="1" applyAlignment="1" applyProtection="1">
      <alignment horizontal="center"/>
    </xf>
    <xf numFmtId="166" fontId="12" fillId="10" borderId="35" xfId="1" applyFont="1" applyFill="1" applyBorder="1" applyAlignment="1" applyProtection="1">
      <alignment horizontal="center"/>
    </xf>
    <xf numFmtId="166" fontId="12" fillId="10" borderId="35" xfId="1" applyFont="1" applyFill="1" applyBorder="1" applyProtection="1"/>
    <xf numFmtId="0" fontId="0" fillId="10" borderId="35" xfId="0" applyFill="1" applyBorder="1"/>
    <xf numFmtId="166" fontId="0" fillId="10" borderId="42" xfId="0" applyNumberFormat="1" applyFill="1" applyBorder="1"/>
    <xf numFmtId="166" fontId="12" fillId="0" borderId="0" xfId="1" applyFont="1" applyBorder="1" applyAlignment="1" applyProtection="1">
      <alignment horizontal="center"/>
    </xf>
    <xf numFmtId="166" fontId="12" fillId="0" borderId="0" xfId="1" applyFont="1" applyBorder="1" applyProtection="1"/>
    <xf numFmtId="166" fontId="0" fillId="0" borderId="0" xfId="0" applyNumberFormat="1"/>
    <xf numFmtId="166" fontId="12" fillId="10" borderId="7" xfId="1" applyFont="1" applyFill="1" applyBorder="1" applyAlignment="1" applyProtection="1">
      <alignment horizontal="center"/>
    </xf>
    <xf numFmtId="166" fontId="12" fillId="10" borderId="8" xfId="1" applyFont="1" applyFill="1" applyBorder="1" applyAlignment="1" applyProtection="1">
      <alignment horizontal="center"/>
    </xf>
    <xf numFmtId="0" fontId="17" fillId="9" borderId="20" xfId="0" applyFont="1" applyFill="1" applyBorder="1" applyAlignment="1">
      <alignment horizontal="center" vertical="center"/>
    </xf>
    <xf numFmtId="165" fontId="17" fillId="9" borderId="4" xfId="18" applyFont="1" applyFill="1" applyBorder="1" applyAlignment="1">
      <alignment horizontal="center" vertical="center" wrapText="1"/>
    </xf>
    <xf numFmtId="10" fontId="32" fillId="11" borderId="4" xfId="3" applyNumberFormat="1" applyFont="1" applyFill="1" applyBorder="1" applyAlignment="1" applyProtection="1">
      <alignment horizontal="center" vertical="center" wrapText="1"/>
    </xf>
    <xf numFmtId="165" fontId="2" fillId="10" borderId="22" xfId="18" applyFont="1" applyFill="1" applyBorder="1" applyAlignment="1">
      <alignment horizontal="right" vertical="center"/>
    </xf>
    <xf numFmtId="0" fontId="2" fillId="9" borderId="4" xfId="0" applyFont="1" applyFill="1" applyBorder="1" applyAlignment="1">
      <alignment horizontal="center" vertical="center" wrapText="1"/>
    </xf>
    <xf numFmtId="165" fontId="2" fillId="10" borderId="4" xfId="18" applyFont="1" applyFill="1" applyBorder="1" applyAlignment="1">
      <alignment horizontal="center" vertical="center"/>
    </xf>
    <xf numFmtId="10" fontId="54" fillId="15" borderId="0" xfId="0" applyNumberFormat="1" applyFont="1" applyFill="1" applyAlignment="1">
      <alignment horizontal="center"/>
    </xf>
    <xf numFmtId="0" fontId="2" fillId="16" borderId="0" xfId="0" applyFont="1" applyFill="1" applyAlignment="1">
      <alignment horizontal="left" vertical="center"/>
    </xf>
    <xf numFmtId="4" fontId="2" fillId="9" borderId="0" xfId="0" applyNumberFormat="1" applyFont="1" applyFill="1" applyAlignment="1">
      <alignment horizontal="center" vertical="center"/>
    </xf>
    <xf numFmtId="0" fontId="20" fillId="17" borderId="2" xfId="0" applyFont="1" applyFill="1" applyBorder="1" applyAlignment="1">
      <alignment horizontal="right" vertical="center"/>
    </xf>
    <xf numFmtId="3" fontId="55" fillId="18" borderId="0" xfId="25" applyNumberFormat="1" applyFill="1" applyBorder="1" applyAlignment="1" applyProtection="1">
      <alignment horizontal="left" vertical="center"/>
    </xf>
    <xf numFmtId="0" fontId="2" fillId="0" borderId="0" xfId="0" applyFont="1" applyAlignment="1">
      <alignment horizontal="left" vertical="center"/>
    </xf>
    <xf numFmtId="0" fontId="55" fillId="0" borderId="0" xfId="25" applyFill="1" applyProtection="1"/>
    <xf numFmtId="168" fontId="0" fillId="0" borderId="0" xfId="0" applyNumberFormat="1"/>
    <xf numFmtId="4" fontId="0" fillId="0" borderId="0" xfId="0" applyNumberFormat="1"/>
    <xf numFmtId="164" fontId="0" fillId="0" borderId="0" xfId="26" applyFont="1" applyAlignment="1">
      <alignment shrinkToFit="1"/>
    </xf>
    <xf numFmtId="9" fontId="53" fillId="0" borderId="0" xfId="3"/>
    <xf numFmtId="10" fontId="53" fillId="0" borderId="0" xfId="3" applyNumberFormat="1"/>
    <xf numFmtId="164" fontId="0" fillId="0" borderId="0" xfId="26" applyFont="1"/>
    <xf numFmtId="168" fontId="17" fillId="0" borderId="2" xfId="0" applyNumberFormat="1" applyFont="1" applyBorder="1" applyAlignment="1">
      <alignment horizontal="center" vertical="center"/>
    </xf>
    <xf numFmtId="169" fontId="17" fillId="0" borderId="2" xfId="0" applyNumberFormat="1" applyFont="1" applyBorder="1" applyAlignment="1">
      <alignment horizontal="center" vertical="center"/>
    </xf>
    <xf numFmtId="17" fontId="0" fillId="0" borderId="0" xfId="0" applyNumberFormat="1"/>
    <xf numFmtId="0" fontId="56" fillId="0" borderId="0" xfId="0" applyFont="1" applyAlignment="1">
      <alignment wrapText="1"/>
    </xf>
    <xf numFmtId="14" fontId="0" fillId="0" borderId="0" xfId="0" applyNumberFormat="1"/>
    <xf numFmtId="14" fontId="0" fillId="0" borderId="51" xfId="0" applyNumberFormat="1" applyBorder="1" applyAlignment="1">
      <alignment horizontal="center" vertical="center" wrapText="1"/>
    </xf>
    <xf numFmtId="195" fontId="0" fillId="0" borderId="51" xfId="0" applyNumberFormat="1" applyBorder="1" applyAlignment="1">
      <alignment horizontal="center" vertical="center" wrapText="1"/>
    </xf>
    <xf numFmtId="0" fontId="0" fillId="0" borderId="51" xfId="0" applyBorder="1" applyAlignment="1">
      <alignment horizontal="center"/>
    </xf>
    <xf numFmtId="2" fontId="0" fillId="0" borderId="51" xfId="0" applyNumberFormat="1" applyBorder="1" applyAlignment="1">
      <alignment horizontal="center"/>
    </xf>
    <xf numFmtId="14" fontId="0" fillId="0" borderId="0" xfId="0" applyNumberFormat="1" applyAlignment="1">
      <alignment horizontal="center" vertical="center" wrapText="1"/>
    </xf>
    <xf numFmtId="196" fontId="0" fillId="0" borderId="0" xfId="0" applyNumberFormat="1"/>
    <xf numFmtId="0" fontId="57" fillId="0" borderId="0" xfId="0" applyFont="1"/>
    <xf numFmtId="194" fontId="0" fillId="0" borderId="0" xfId="0" applyNumberFormat="1"/>
    <xf numFmtId="164" fontId="0" fillId="0" borderId="0" xfId="26" applyFont="1" applyFill="1" applyAlignment="1">
      <alignment shrinkToFit="1"/>
    </xf>
    <xf numFmtId="174" fontId="12" fillId="24" borderId="2" xfId="1" applyNumberFormat="1" applyFont="1" applyFill="1" applyBorder="1" applyProtection="1"/>
    <xf numFmtId="174" fontId="0" fillId="0" borderId="0" xfId="0" applyNumberFormat="1"/>
    <xf numFmtId="0" fontId="17" fillId="13" borderId="0" xfId="0" applyFont="1" applyFill="1" applyAlignment="1">
      <alignment horizontal="centerContinuous" vertical="center" wrapText="1"/>
    </xf>
    <xf numFmtId="0" fontId="17" fillId="25" borderId="0" xfId="0" applyFont="1" applyFill="1" applyAlignment="1">
      <alignment horizontal="centerContinuous" vertical="center" wrapText="1"/>
    </xf>
    <xf numFmtId="0" fontId="54" fillId="18" borderId="0" xfId="0" applyFont="1" applyFill="1" applyAlignment="1">
      <alignment horizontal="center" vertical="center"/>
    </xf>
    <xf numFmtId="10" fontId="54" fillId="18" borderId="0" xfId="3" applyNumberFormat="1" applyFont="1" applyFill="1" applyAlignment="1">
      <alignment vertical="center"/>
    </xf>
    <xf numFmtId="0" fontId="0" fillId="18" borderId="0" xfId="0" applyFill="1"/>
    <xf numFmtId="10" fontId="53" fillId="11" borderId="2" xfId="1" applyNumberFormat="1" applyFill="1" applyBorder="1" applyProtection="1"/>
    <xf numFmtId="194" fontId="21" fillId="9" borderId="3" xfId="0" applyNumberFormat="1" applyFont="1" applyFill="1" applyBorder="1" applyAlignment="1">
      <alignment horizontal="center"/>
    </xf>
    <xf numFmtId="10" fontId="53" fillId="26" borderId="2" xfId="1" applyNumberFormat="1" applyFill="1" applyBorder="1" applyProtection="1"/>
    <xf numFmtId="9" fontId="0" fillId="0" borderId="0" xfId="3" applyFont="1"/>
    <xf numFmtId="10" fontId="22" fillId="21" borderId="0" xfId="0" applyNumberFormat="1" applyFont="1" applyFill="1" applyAlignment="1" applyProtection="1">
      <alignment horizontal="center" vertical="center"/>
      <protection locked="0"/>
    </xf>
    <xf numFmtId="10" fontId="22" fillId="21" borderId="0" xfId="0" applyNumberFormat="1" applyFont="1" applyFill="1" applyAlignment="1">
      <alignment horizontal="center" vertical="center"/>
    </xf>
    <xf numFmtId="0" fontId="0" fillId="21" borderId="2" xfId="0" applyFill="1" applyBorder="1" applyAlignment="1">
      <alignment horizontal="center"/>
    </xf>
    <xf numFmtId="3" fontId="59" fillId="10" borderId="4" xfId="0" applyNumberFormat="1" applyFont="1" applyFill="1" applyBorder="1" applyAlignment="1">
      <alignment vertical="center"/>
    </xf>
    <xf numFmtId="197" fontId="0" fillId="0" borderId="0" xfId="0" applyNumberFormat="1"/>
    <xf numFmtId="0" fontId="49" fillId="0" borderId="0" xfId="0" applyFont="1"/>
    <xf numFmtId="0" fontId="61" fillId="0" borderId="0" xfId="0" applyFont="1"/>
    <xf numFmtId="197" fontId="0" fillId="0" borderId="0" xfId="0" applyNumberFormat="1" applyAlignment="1">
      <alignment shrinkToFit="1"/>
    </xf>
    <xf numFmtId="171" fontId="17" fillId="26" borderId="32" xfId="0" applyNumberFormat="1" applyFont="1" applyFill="1" applyBorder="1" applyAlignment="1">
      <alignment vertical="center"/>
    </xf>
    <xf numFmtId="171" fontId="17" fillId="26" borderId="43" xfId="0" applyNumberFormat="1" applyFont="1" applyFill="1" applyBorder="1" applyAlignment="1">
      <alignment vertical="center"/>
    </xf>
    <xf numFmtId="189" fontId="12" fillId="26" borderId="26" xfId="2" applyNumberFormat="1" applyFont="1" applyFill="1" applyBorder="1" applyAlignment="1" applyProtection="1">
      <alignment horizontal="center" vertical="center"/>
    </xf>
    <xf numFmtId="189" fontId="12" fillId="26" borderId="39" xfId="2" applyNumberFormat="1" applyFont="1" applyFill="1" applyBorder="1" applyAlignment="1" applyProtection="1">
      <alignment horizontal="center" vertical="center"/>
    </xf>
    <xf numFmtId="43" fontId="17" fillId="0" borderId="0" xfId="0" applyNumberFormat="1" applyFont="1" applyAlignment="1">
      <alignment horizontal="center" vertical="center"/>
    </xf>
    <xf numFmtId="171" fontId="20" fillId="26" borderId="7" xfId="0" applyNumberFormat="1" applyFont="1" applyFill="1" applyBorder="1" applyAlignment="1">
      <alignment vertical="center"/>
    </xf>
    <xf numFmtId="190" fontId="12" fillId="17" borderId="26" xfId="2" applyNumberFormat="1" applyFont="1" applyFill="1" applyBorder="1" applyAlignment="1" applyProtection="1">
      <alignment horizontal="center" vertical="center"/>
    </xf>
    <xf numFmtId="4" fontId="0" fillId="0" borderId="0" xfId="0" applyNumberFormat="1" applyAlignment="1">
      <alignment horizontal="right"/>
    </xf>
    <xf numFmtId="174" fontId="12" fillId="26" borderId="2" xfId="1" applyNumberFormat="1" applyFont="1" applyFill="1" applyBorder="1" applyProtection="1"/>
    <xf numFmtId="0" fontId="20" fillId="11" borderId="2" xfId="0" applyFont="1" applyFill="1" applyBorder="1" applyAlignment="1">
      <alignment horizontal="right" vertical="center"/>
    </xf>
    <xf numFmtId="4" fontId="17" fillId="26" borderId="2" xfId="0" applyNumberFormat="1" applyFont="1" applyFill="1" applyBorder="1" applyAlignment="1">
      <alignment vertical="center" wrapText="1"/>
    </xf>
    <xf numFmtId="2" fontId="20" fillId="26" borderId="2" xfId="0" applyNumberFormat="1" applyFont="1" applyFill="1" applyBorder="1" applyAlignment="1">
      <alignment horizontal="right" vertical="center"/>
    </xf>
    <xf numFmtId="0" fontId="62" fillId="28" borderId="0" xfId="0" applyFont="1" applyFill="1"/>
    <xf numFmtId="17" fontId="2" fillId="9" borderId="0" xfId="0" applyNumberFormat="1" applyFont="1" applyFill="1" applyAlignment="1">
      <alignment horizontal="center" vertical="center"/>
    </xf>
    <xf numFmtId="0" fontId="27" fillId="17" borderId="0" xfId="0" applyFont="1" applyFill="1" applyAlignment="1" applyProtection="1">
      <alignment horizontal="center" vertical="center"/>
      <protection locked="0"/>
    </xf>
    <xf numFmtId="2" fontId="20" fillId="17" borderId="2" xfId="0" applyNumberFormat="1" applyFont="1" applyFill="1" applyBorder="1" applyAlignment="1">
      <alignment horizontal="right" vertical="center"/>
    </xf>
    <xf numFmtId="176" fontId="20" fillId="17" borderId="2" xfId="0" applyNumberFormat="1" applyFont="1" applyFill="1" applyBorder="1" applyAlignment="1">
      <alignment horizontal="right" vertical="center"/>
    </xf>
    <xf numFmtId="176" fontId="0" fillId="0" borderId="0" xfId="0" applyNumberFormat="1"/>
    <xf numFmtId="0" fontId="62" fillId="0" borderId="0" xfId="0" applyFont="1"/>
    <xf numFmtId="186" fontId="63" fillId="27" borderId="39" xfId="2" applyFont="1" applyFill="1" applyBorder="1" applyAlignment="1" applyProtection="1">
      <alignment horizontal="center" vertical="center"/>
    </xf>
    <xf numFmtId="186" fontId="63" fillId="27" borderId="35" xfId="2" applyFont="1" applyFill="1" applyBorder="1" applyAlignment="1" applyProtection="1">
      <alignment horizontal="center" vertical="center"/>
    </xf>
    <xf numFmtId="176" fontId="0" fillId="0" borderId="11" xfId="0" applyNumberFormat="1" applyBorder="1"/>
    <xf numFmtId="176" fontId="0" fillId="0" borderId="16" xfId="0" applyNumberFormat="1" applyBorder="1"/>
    <xf numFmtId="176" fontId="0" fillId="0" borderId="15" xfId="0" applyNumberFormat="1" applyBorder="1"/>
    <xf numFmtId="177" fontId="0" fillId="0" borderId="13" xfId="0" applyNumberFormat="1" applyBorder="1" applyAlignment="1">
      <alignment horizontal="center" vertical="center"/>
    </xf>
    <xf numFmtId="176" fontId="0" fillId="0" borderId="4" xfId="0" applyNumberFormat="1" applyBorder="1" applyAlignment="1">
      <alignment vertical="center"/>
    </xf>
    <xf numFmtId="2" fontId="0" fillId="10" borderId="13" xfId="0" applyNumberFormat="1" applyFill="1" applyBorder="1" applyAlignment="1">
      <alignment horizontal="center" vertical="center"/>
    </xf>
    <xf numFmtId="188" fontId="0" fillId="10" borderId="13" xfId="0" applyNumberFormat="1" applyFill="1" applyBorder="1"/>
    <xf numFmtId="186" fontId="12" fillId="26" borderId="39" xfId="2" applyFont="1" applyFill="1" applyBorder="1" applyAlignment="1" applyProtection="1">
      <alignment horizontal="center" vertical="center"/>
    </xf>
    <xf numFmtId="186" fontId="12" fillId="26" borderId="26" xfId="2" applyFont="1" applyFill="1" applyBorder="1" applyAlignment="1" applyProtection="1">
      <alignment horizontal="center" vertical="center"/>
    </xf>
    <xf numFmtId="186" fontId="12" fillId="26" borderId="35" xfId="2" applyFont="1" applyFill="1" applyBorder="1" applyAlignment="1" applyProtection="1">
      <alignment horizontal="center" vertical="center"/>
    </xf>
    <xf numFmtId="186" fontId="12" fillId="17" borderId="39" xfId="2" applyFont="1" applyFill="1" applyBorder="1" applyAlignment="1" applyProtection="1">
      <alignment horizontal="center" vertical="center"/>
    </xf>
    <xf numFmtId="186" fontId="12" fillId="17" borderId="26" xfId="2" applyFont="1" applyFill="1" applyBorder="1" applyAlignment="1" applyProtection="1">
      <alignment horizontal="center" vertical="center"/>
    </xf>
    <xf numFmtId="186" fontId="12" fillId="17" borderId="35" xfId="2" applyFont="1" applyFill="1" applyBorder="1" applyAlignment="1" applyProtection="1">
      <alignment horizontal="center" vertical="center"/>
    </xf>
    <xf numFmtId="186" fontId="0" fillId="10" borderId="13" xfId="2" applyFont="1" applyFill="1" applyBorder="1" applyAlignment="1" applyProtection="1">
      <alignment horizontal="center" vertical="center"/>
    </xf>
    <xf numFmtId="190" fontId="0" fillId="11" borderId="52" xfId="0" applyNumberFormat="1" applyFill="1" applyBorder="1" applyAlignment="1">
      <alignment horizontal="center" vertical="center"/>
    </xf>
    <xf numFmtId="190" fontId="0" fillId="26" borderId="52" xfId="0" applyNumberFormat="1" applyFill="1" applyBorder="1" applyAlignment="1">
      <alignment horizontal="center" vertical="center"/>
    </xf>
    <xf numFmtId="0" fontId="0" fillId="10" borderId="13" xfId="0" applyFill="1" applyBorder="1" applyAlignment="1">
      <alignment horizontal="center" vertical="center"/>
    </xf>
    <xf numFmtId="176" fontId="0" fillId="0" borderId="4" xfId="0" applyNumberFormat="1" applyBorder="1"/>
    <xf numFmtId="0" fontId="37" fillId="10" borderId="3" xfId="0" applyFont="1" applyFill="1" applyBorder="1" applyAlignment="1">
      <alignment horizontal="center" vertical="center" wrapText="1"/>
    </xf>
    <xf numFmtId="2" fontId="0" fillId="0" borderId="4" xfId="0" applyNumberFormat="1" applyBorder="1" applyAlignment="1">
      <alignment horizontal="right" vertical="center"/>
    </xf>
    <xf numFmtId="0" fontId="18" fillId="9" borderId="4" xfId="0" applyFont="1" applyFill="1" applyBorder="1" applyAlignment="1">
      <alignment horizontal="left" vertical="center"/>
    </xf>
    <xf numFmtId="43" fontId="0" fillId="0" borderId="0" xfId="0" applyNumberFormat="1" applyAlignment="1">
      <alignment horizontal="center" vertical="center"/>
    </xf>
    <xf numFmtId="198" fontId="17" fillId="10" borderId="2" xfId="27" applyNumberFormat="1" applyFont="1" applyFill="1" applyBorder="1"/>
    <xf numFmtId="0" fontId="55" fillId="0" borderId="0" xfId="25" applyAlignment="1"/>
    <xf numFmtId="177" fontId="0" fillId="10" borderId="13" xfId="0" applyNumberFormat="1" applyFill="1" applyBorder="1" applyAlignment="1">
      <alignment horizontal="center" vertical="center"/>
    </xf>
    <xf numFmtId="166" fontId="21" fillId="0" borderId="6" xfId="1" applyFont="1" applyBorder="1" applyAlignment="1" applyProtection="1">
      <alignment horizontal="center" vertical="center"/>
    </xf>
    <xf numFmtId="0" fontId="64" fillId="0" borderId="0" xfId="0" applyFont="1"/>
    <xf numFmtId="0" fontId="20" fillId="9" borderId="13" xfId="0" applyFont="1" applyFill="1" applyBorder="1" applyAlignment="1">
      <alignment horizontal="left" vertical="center"/>
    </xf>
    <xf numFmtId="0" fontId="18" fillId="9" borderId="53" xfId="0" applyFont="1" applyFill="1" applyBorder="1" applyAlignment="1">
      <alignment horizontal="left" vertical="center"/>
    </xf>
    <xf numFmtId="166" fontId="12" fillId="11" borderId="13" xfId="1" applyFont="1" applyFill="1" applyBorder="1" applyAlignment="1" applyProtection="1">
      <alignment horizontal="left" vertical="center"/>
    </xf>
    <xf numFmtId="0" fontId="20" fillId="9" borderId="19" xfId="0" applyFont="1" applyFill="1" applyBorder="1" applyAlignment="1">
      <alignment horizontal="left" vertical="center"/>
    </xf>
    <xf numFmtId="0" fontId="20" fillId="9" borderId="33" xfId="0" applyFont="1" applyFill="1" applyBorder="1" applyAlignment="1">
      <alignment horizontal="left" vertical="center"/>
    </xf>
    <xf numFmtId="166" fontId="21" fillId="11" borderId="4" xfId="1" applyFont="1" applyFill="1" applyBorder="1" applyAlignment="1" applyProtection="1">
      <alignment horizontal="center" vertical="center"/>
    </xf>
    <xf numFmtId="0" fontId="18" fillId="9" borderId="12" xfId="0" applyFont="1" applyFill="1" applyBorder="1" applyAlignment="1">
      <alignment horizontal="left" vertical="center"/>
    </xf>
    <xf numFmtId="167" fontId="15" fillId="9" borderId="13" xfId="1" applyNumberFormat="1" applyFont="1" applyFill="1" applyBorder="1" applyAlignment="1" applyProtection="1">
      <alignment horizontal="center" vertical="center" textRotation="90"/>
    </xf>
    <xf numFmtId="0" fontId="20" fillId="9" borderId="54" xfId="0" applyFont="1" applyFill="1" applyBorder="1" applyAlignment="1">
      <alignment horizontal="left" vertical="center"/>
    </xf>
    <xf numFmtId="2" fontId="20" fillId="9" borderId="19" xfId="0" applyNumberFormat="1" applyFont="1" applyFill="1" applyBorder="1" applyAlignment="1">
      <alignment horizontal="left" vertical="center"/>
    </xf>
    <xf numFmtId="0" fontId="0" fillId="11" borderId="10" xfId="0" applyFill="1" applyBorder="1" applyAlignment="1">
      <alignment wrapText="1"/>
    </xf>
    <xf numFmtId="0" fontId="0" fillId="11" borderId="19" xfId="0" applyFill="1" applyBorder="1" applyAlignment="1">
      <alignment wrapText="1"/>
    </xf>
    <xf numFmtId="168" fontId="2" fillId="26" borderId="4" xfId="1" applyNumberFormat="1" applyFont="1" applyFill="1" applyBorder="1" applyAlignment="1" applyProtection="1">
      <alignment horizontal="center" vertical="center"/>
    </xf>
    <xf numFmtId="169" fontId="2" fillId="26" borderId="4" xfId="1" applyNumberFormat="1" applyFont="1" applyFill="1" applyBorder="1" applyAlignment="1" applyProtection="1">
      <alignment horizontal="center" vertical="center"/>
    </xf>
    <xf numFmtId="0" fontId="20" fillId="30" borderId="4" xfId="0" applyFont="1" applyFill="1" applyBorder="1"/>
    <xf numFmtId="166" fontId="21" fillId="17" borderId="6" xfId="1" applyFont="1" applyFill="1" applyBorder="1" applyAlignment="1" applyProtection="1">
      <alignment horizontal="center" vertical="center"/>
    </xf>
    <xf numFmtId="0" fontId="66" fillId="0" borderId="0" xfId="0" applyFont="1" applyAlignment="1">
      <alignment vertical="center"/>
    </xf>
    <xf numFmtId="0" fontId="0" fillId="0" borderId="0" xfId="0" applyProtection="1">
      <protection hidden="1"/>
    </xf>
    <xf numFmtId="0" fontId="0" fillId="0" borderId="0" xfId="0" applyAlignment="1" applyProtection="1">
      <alignment shrinkToFit="1"/>
      <protection hidden="1"/>
    </xf>
    <xf numFmtId="0" fontId="0" fillId="22" borderId="0" xfId="0" applyFill="1" applyAlignment="1" applyProtection="1">
      <alignment shrinkToFit="1"/>
      <protection hidden="1"/>
    </xf>
    <xf numFmtId="0" fontId="0" fillId="23" borderId="0" xfId="0" applyFill="1" applyAlignment="1" applyProtection="1">
      <alignment shrinkToFit="1"/>
      <protection hidden="1"/>
    </xf>
    <xf numFmtId="10" fontId="27" fillId="21" borderId="0" xfId="0" applyNumberFormat="1" applyFont="1" applyFill="1" applyAlignment="1" applyProtection="1">
      <alignment horizontal="center" vertical="center"/>
      <protection locked="0"/>
    </xf>
    <xf numFmtId="181" fontId="2" fillId="10" borderId="2" xfId="27" applyNumberFormat="1" applyFont="1" applyFill="1" applyBorder="1" applyAlignment="1">
      <alignment horizontal="center" vertical="center" wrapText="1"/>
    </xf>
    <xf numFmtId="199" fontId="2" fillId="10" borderId="2" xfId="0" applyNumberFormat="1" applyFont="1" applyFill="1" applyBorder="1" applyAlignment="1">
      <alignment horizontal="center" vertical="center" wrapText="1"/>
    </xf>
    <xf numFmtId="0" fontId="55" fillId="0" borderId="0" xfId="25"/>
    <xf numFmtId="186" fontId="21" fillId="17" borderId="39" xfId="2" applyFont="1" applyFill="1" applyBorder="1" applyAlignment="1" applyProtection="1">
      <alignment horizontal="center" vertical="center"/>
    </xf>
    <xf numFmtId="186" fontId="21" fillId="17" borderId="26" xfId="2" applyFont="1" applyFill="1" applyBorder="1" applyAlignment="1" applyProtection="1">
      <alignment horizontal="center" vertical="center"/>
    </xf>
    <xf numFmtId="186" fontId="21" fillId="17" borderId="35" xfId="2" applyFont="1" applyFill="1" applyBorder="1" applyAlignment="1" applyProtection="1">
      <alignment horizontal="center" vertical="center"/>
    </xf>
    <xf numFmtId="0" fontId="0" fillId="9" borderId="5" xfId="0" applyFill="1" applyBorder="1" applyAlignment="1">
      <alignment horizontal="center"/>
    </xf>
    <xf numFmtId="165" fontId="2" fillId="10" borderId="5" xfId="18" applyFont="1" applyFill="1" applyBorder="1" applyAlignment="1">
      <alignment vertical="center"/>
    </xf>
    <xf numFmtId="165" fontId="2" fillId="10" borderId="13" xfId="18" applyFont="1" applyFill="1" applyBorder="1" applyAlignment="1">
      <alignment vertical="center"/>
    </xf>
    <xf numFmtId="165" fontId="2" fillId="10" borderId="13" xfId="18" applyFont="1" applyFill="1" applyBorder="1" applyAlignment="1">
      <alignment horizontal="center" vertical="center"/>
    </xf>
    <xf numFmtId="165" fontId="2" fillId="10" borderId="12" xfId="18" applyFont="1" applyFill="1" applyBorder="1" applyAlignment="1">
      <alignment horizontal="center" vertical="center"/>
    </xf>
    <xf numFmtId="0" fontId="0" fillId="9" borderId="36" xfId="0" applyFill="1" applyBorder="1" applyAlignment="1">
      <alignment horizontal="center" vertical="center" wrapText="1"/>
    </xf>
    <xf numFmtId="0" fontId="0" fillId="11" borderId="6" xfId="0" applyFill="1" applyBorder="1" applyAlignment="1">
      <alignment horizontal="center" vertical="center"/>
    </xf>
    <xf numFmtId="0" fontId="0" fillId="11" borderId="7" xfId="0" applyFill="1" applyBorder="1" applyAlignment="1">
      <alignment horizontal="center" vertical="center" wrapText="1"/>
    </xf>
    <xf numFmtId="0" fontId="12" fillId="9" borderId="36" xfId="0" applyFont="1" applyFill="1" applyBorder="1" applyAlignment="1">
      <alignment horizontal="center" vertical="center" wrapText="1"/>
    </xf>
    <xf numFmtId="168" fontId="67" fillId="10" borderId="4" xfId="0" applyNumberFormat="1" applyFont="1" applyFill="1" applyBorder="1"/>
    <xf numFmtId="168" fontId="69" fillId="20" borderId="4" xfId="0" applyNumberFormat="1" applyFont="1" applyFill="1" applyBorder="1"/>
    <xf numFmtId="4" fontId="37" fillId="26" borderId="2" xfId="0" applyNumberFormat="1" applyFont="1" applyFill="1" applyBorder="1" applyAlignment="1">
      <alignment horizontal="right" vertical="center" wrapText="1"/>
    </xf>
    <xf numFmtId="0" fontId="37" fillId="21" borderId="2" xfId="0" applyFont="1" applyFill="1" applyBorder="1" applyAlignment="1" applyProtection="1">
      <alignment horizontal="center" vertical="center" wrapText="1"/>
      <protection locked="0"/>
    </xf>
    <xf numFmtId="0" fontId="65" fillId="15" borderId="0" xfId="0" applyFont="1" applyFill="1"/>
    <xf numFmtId="0" fontId="0" fillId="15" borderId="0" xfId="0" applyFill="1"/>
    <xf numFmtId="0" fontId="0" fillId="15" borderId="56" xfId="0" applyFill="1" applyBorder="1"/>
    <xf numFmtId="0" fontId="68" fillId="15" borderId="0" xfId="0" applyFont="1" applyFill="1"/>
    <xf numFmtId="0" fontId="0" fillId="15" borderId="0" xfId="0" applyFill="1" applyAlignment="1">
      <alignment vertical="center"/>
    </xf>
    <xf numFmtId="0" fontId="67" fillId="15" borderId="0" xfId="0" applyFont="1" applyFill="1"/>
    <xf numFmtId="0" fontId="0" fillId="15" borderId="57" xfId="0" applyFill="1" applyBorder="1"/>
    <xf numFmtId="0" fontId="0" fillId="15" borderId="55" xfId="0" applyFill="1" applyBorder="1"/>
    <xf numFmtId="0" fontId="2" fillId="9" borderId="45" xfId="0" applyFont="1" applyFill="1" applyBorder="1" applyAlignment="1">
      <alignment horizontal="left" vertical="center"/>
    </xf>
    <xf numFmtId="0" fontId="2" fillId="9" borderId="50" xfId="0" applyFont="1" applyFill="1" applyBorder="1" applyAlignment="1">
      <alignment horizontal="left" vertical="center"/>
    </xf>
    <xf numFmtId="0" fontId="27" fillId="21" borderId="44" xfId="0" applyFont="1" applyFill="1" applyBorder="1" applyAlignment="1" applyProtection="1">
      <alignment horizontal="center" vertical="center" wrapText="1"/>
      <protection locked="0"/>
    </xf>
    <xf numFmtId="0" fontId="27" fillId="21" borderId="27" xfId="0" applyFont="1" applyFill="1" applyBorder="1" applyAlignment="1" applyProtection="1">
      <alignment horizontal="center" vertical="center" wrapText="1"/>
      <protection locked="0"/>
    </xf>
    <xf numFmtId="3" fontId="27" fillId="21" borderId="28" xfId="0" applyNumberFormat="1" applyFont="1" applyFill="1" applyBorder="1" applyAlignment="1" applyProtection="1">
      <alignment horizontal="center" vertical="center" wrapText="1"/>
      <protection locked="0"/>
    </xf>
    <xf numFmtId="0" fontId="2" fillId="9" borderId="58" xfId="0" applyFont="1" applyFill="1" applyBorder="1"/>
    <xf numFmtId="17" fontId="2" fillId="9" borderId="59" xfId="0" applyNumberFormat="1" applyFont="1" applyFill="1" applyBorder="1" applyAlignment="1">
      <alignment horizontal="center"/>
    </xf>
    <xf numFmtId="17" fontId="27" fillId="21" borderId="4" xfId="0" applyNumberFormat="1" applyFont="1" applyFill="1" applyBorder="1" applyAlignment="1" applyProtection="1">
      <alignment horizontal="center" vertical="center"/>
      <protection locked="0"/>
    </xf>
    <xf numFmtId="0" fontId="71" fillId="0" borderId="0" xfId="0" applyFont="1"/>
    <xf numFmtId="0" fontId="0" fillId="9" borderId="4" xfId="0" applyFill="1" applyBorder="1" applyAlignment="1">
      <alignment horizontal="center" vertical="center" wrapText="1"/>
    </xf>
    <xf numFmtId="186" fontId="12" fillId="10" borderId="21" xfId="2" applyFont="1" applyFill="1" applyBorder="1" applyAlignment="1" applyProtection="1">
      <alignment horizontal="center" vertical="center"/>
    </xf>
    <xf numFmtId="186" fontId="12" fillId="10" borderId="52" xfId="2" applyFont="1" applyFill="1" applyBorder="1" applyAlignment="1" applyProtection="1">
      <alignment horizontal="center" vertical="center"/>
    </xf>
    <xf numFmtId="186" fontId="12" fillId="10" borderId="62" xfId="2" applyFont="1" applyFill="1" applyBorder="1" applyAlignment="1" applyProtection="1">
      <alignment horizontal="center" vertical="center"/>
    </xf>
    <xf numFmtId="176" fontId="0" fillId="0" borderId="22" xfId="0" applyNumberFormat="1" applyBorder="1"/>
    <xf numFmtId="176" fontId="0" fillId="0" borderId="23" xfId="0" applyNumberFormat="1" applyBorder="1"/>
    <xf numFmtId="176" fontId="0" fillId="0" borderId="18" xfId="0" applyNumberFormat="1" applyBorder="1"/>
    <xf numFmtId="190" fontId="0" fillId="10" borderId="21" xfId="0" applyNumberFormat="1" applyFill="1" applyBorder="1" applyAlignment="1">
      <alignment horizontal="center" vertical="center"/>
    </xf>
    <xf numFmtId="190" fontId="0" fillId="10" borderId="52" xfId="0" applyNumberFormat="1" applyFill="1" applyBorder="1" applyAlignment="1">
      <alignment horizontal="center" vertical="center"/>
    </xf>
    <xf numFmtId="190" fontId="0" fillId="10" borderId="62" xfId="0" applyNumberFormat="1" applyFill="1" applyBorder="1" applyAlignment="1">
      <alignment horizontal="center" vertical="center"/>
    </xf>
    <xf numFmtId="0" fontId="12" fillId="9" borderId="6" xfId="0" applyFont="1" applyFill="1" applyBorder="1" applyAlignment="1">
      <alignment horizontal="center" vertical="center"/>
    </xf>
    <xf numFmtId="0" fontId="12" fillId="11" borderId="7" xfId="0" applyFont="1" applyFill="1" applyBorder="1" applyAlignment="1">
      <alignment vertical="center" wrapText="1"/>
    </xf>
    <xf numFmtId="0" fontId="0" fillId="11" borderId="7" xfId="0" applyFill="1" applyBorder="1" applyAlignment="1">
      <alignment horizontal="center" vertical="center"/>
    </xf>
    <xf numFmtId="166" fontId="12" fillId="11" borderId="7" xfId="1" applyFont="1" applyFill="1" applyBorder="1" applyAlignment="1" applyProtection="1">
      <alignment horizontal="center" vertical="center"/>
    </xf>
    <xf numFmtId="189" fontId="12" fillId="10" borderId="7" xfId="2" applyNumberFormat="1" applyFont="1" applyFill="1" applyBorder="1" applyAlignment="1" applyProtection="1">
      <alignment horizontal="center" vertical="center"/>
    </xf>
    <xf numFmtId="189" fontId="12" fillId="18" borderId="7" xfId="2" applyNumberFormat="1" applyFont="1" applyFill="1" applyBorder="1" applyAlignment="1" applyProtection="1">
      <alignment horizontal="center" vertical="center"/>
    </xf>
    <xf numFmtId="189" fontId="12" fillId="26" borderId="7" xfId="2" applyNumberFormat="1" applyFont="1" applyFill="1" applyBorder="1" applyAlignment="1" applyProtection="1">
      <alignment horizontal="center" vertical="center"/>
    </xf>
    <xf numFmtId="189" fontId="12" fillId="10" borderId="8" xfId="2" applyNumberFormat="1" applyFont="1" applyFill="1" applyBorder="1" applyAlignment="1" applyProtection="1">
      <alignment horizontal="center" vertical="center"/>
    </xf>
    <xf numFmtId="189" fontId="12" fillId="17" borderId="7" xfId="2" applyNumberFormat="1" applyFont="1" applyFill="1" applyBorder="1" applyAlignment="1" applyProtection="1">
      <alignment horizontal="center" vertical="center"/>
    </xf>
    <xf numFmtId="189" fontId="12" fillId="26" borderId="8" xfId="2" applyNumberFormat="1" applyFont="1" applyFill="1" applyBorder="1" applyAlignment="1" applyProtection="1">
      <alignment horizontal="center" vertical="center"/>
    </xf>
    <xf numFmtId="0" fontId="12" fillId="11" borderId="7" xfId="0" applyFont="1" applyFill="1" applyBorder="1" applyAlignment="1">
      <alignment horizontal="justify" vertical="center" wrapText="1"/>
    </xf>
    <xf numFmtId="0" fontId="20" fillId="11" borderId="7" xfId="0" applyFont="1" applyFill="1" applyBorder="1" applyAlignment="1">
      <alignment horizontal="center" vertical="center" wrapText="1"/>
    </xf>
    <xf numFmtId="189" fontId="12" fillId="0" borderId="12" xfId="2" applyNumberFormat="1" applyFont="1" applyBorder="1" applyAlignment="1" applyProtection="1">
      <alignment horizontal="center" vertical="center"/>
    </xf>
    <xf numFmtId="0" fontId="12" fillId="11" borderId="5" xfId="0" applyFont="1" applyFill="1" applyBorder="1" applyAlignment="1">
      <alignment horizontal="justify"/>
    </xf>
    <xf numFmtId="0" fontId="12" fillId="11" borderId="7" xfId="0" applyFont="1" applyFill="1" applyBorder="1" applyAlignment="1">
      <alignment horizontal="center" vertical="center"/>
    </xf>
    <xf numFmtId="192" fontId="12" fillId="11" borderId="7" xfId="24" applyFill="1" applyBorder="1" applyAlignment="1" applyProtection="1">
      <alignment horizontal="center" vertical="center"/>
    </xf>
    <xf numFmtId="192" fontId="12" fillId="10" borderId="7" xfId="24" applyFill="1" applyBorder="1" applyAlignment="1" applyProtection="1">
      <alignment horizontal="center" vertical="center"/>
    </xf>
    <xf numFmtId="186" fontId="12" fillId="11" borderId="7" xfId="2" applyFont="1" applyFill="1" applyBorder="1" applyAlignment="1" applyProtection="1">
      <alignment horizontal="center" vertical="center"/>
    </xf>
    <xf numFmtId="186" fontId="12" fillId="10" borderId="8" xfId="2" applyFont="1" applyFill="1" applyBorder="1" applyAlignment="1" applyProtection="1">
      <alignment horizontal="center" vertical="center"/>
    </xf>
    <xf numFmtId="0" fontId="0" fillId="0" borderId="19" xfId="0" applyBorder="1"/>
    <xf numFmtId="192" fontId="12" fillId="31" borderId="7" xfId="24" applyFill="1" applyBorder="1" applyAlignment="1" applyProtection="1">
      <alignment horizontal="center" vertical="center"/>
    </xf>
    <xf numFmtId="186" fontId="12" fillId="31" borderId="7" xfId="2" applyFont="1" applyFill="1" applyBorder="1" applyAlignment="1" applyProtection="1">
      <alignment horizontal="center" vertical="center"/>
    </xf>
    <xf numFmtId="186" fontId="50" fillId="26" borderId="12" xfId="0" applyNumberFormat="1" applyFont="1" applyFill="1" applyBorder="1"/>
    <xf numFmtId="186" fontId="50" fillId="26" borderId="13" xfId="0" applyNumberFormat="1" applyFont="1" applyFill="1" applyBorder="1"/>
    <xf numFmtId="168" fontId="17" fillId="10" borderId="63" xfId="0" applyNumberFormat="1" applyFont="1" applyFill="1" applyBorder="1"/>
    <xf numFmtId="189" fontId="12" fillId="10" borderId="30" xfId="2" applyNumberFormat="1" applyFont="1" applyFill="1" applyBorder="1" applyAlignment="1" applyProtection="1">
      <alignment horizontal="center" vertical="center"/>
    </xf>
    <xf numFmtId="0" fontId="12" fillId="11" borderId="39" xfId="0" applyFont="1" applyFill="1" applyBorder="1" applyAlignment="1">
      <alignment horizontal="justify" vertical="center" wrapText="1"/>
    </xf>
    <xf numFmtId="0" fontId="12" fillId="11" borderId="35" xfId="0" applyFont="1" applyFill="1" applyBorder="1" applyAlignment="1">
      <alignment horizontal="justify" vertical="center" wrapText="1"/>
    </xf>
    <xf numFmtId="0" fontId="12" fillId="11" borderId="6" xfId="0" applyFont="1" applyFill="1" applyBorder="1" applyAlignment="1">
      <alignment horizontal="right" vertical="center"/>
    </xf>
    <xf numFmtId="0" fontId="12" fillId="11" borderId="7" xfId="0" applyFont="1" applyFill="1" applyBorder="1" applyAlignment="1">
      <alignment horizontal="left" vertical="center" wrapText="1"/>
    </xf>
    <xf numFmtId="0" fontId="12" fillId="11" borderId="7" xfId="0" applyFont="1" applyFill="1" applyBorder="1" applyAlignment="1">
      <alignment horizontal="justify" vertical="center"/>
    </xf>
    <xf numFmtId="190" fontId="12" fillId="11" borderId="7" xfId="2" applyNumberFormat="1" applyFont="1" applyFill="1" applyBorder="1" applyAlignment="1" applyProtection="1">
      <alignment horizontal="center" vertical="center"/>
    </xf>
    <xf numFmtId="0" fontId="12" fillId="11" borderId="39" xfId="0" applyFont="1" applyFill="1" applyBorder="1" applyAlignment="1">
      <alignment horizontal="justify" vertical="center"/>
    </xf>
    <xf numFmtId="0" fontId="20" fillId="11" borderId="39" xfId="0" applyFont="1" applyFill="1" applyBorder="1" applyAlignment="1">
      <alignment horizontal="center" vertical="center" wrapText="1"/>
    </xf>
    <xf numFmtId="0" fontId="12" fillId="11" borderId="35" xfId="0" applyFont="1" applyFill="1" applyBorder="1" applyAlignment="1">
      <alignment horizontal="justify" vertical="center"/>
    </xf>
    <xf numFmtId="0" fontId="20" fillId="11" borderId="35" xfId="0" applyFont="1" applyFill="1" applyBorder="1" applyAlignment="1">
      <alignment horizontal="center" vertical="center" wrapText="1"/>
    </xf>
    <xf numFmtId="169" fontId="0" fillId="10" borderId="12" xfId="0" applyNumberFormat="1" applyFill="1" applyBorder="1" applyAlignment="1">
      <alignment horizontal="right" vertical="center"/>
    </xf>
    <xf numFmtId="189" fontId="0" fillId="10" borderId="13" xfId="0" applyNumberFormat="1" applyFill="1" applyBorder="1" applyAlignment="1">
      <alignment horizontal="center" vertical="center"/>
    </xf>
    <xf numFmtId="168" fontId="17" fillId="10" borderId="63" xfId="0" applyNumberFormat="1" applyFont="1" applyFill="1" applyBorder="1" applyAlignment="1">
      <alignment horizontal="center" vertical="center"/>
    </xf>
    <xf numFmtId="0" fontId="0" fillId="15" borderId="12" xfId="0" applyFill="1" applyBorder="1" applyAlignment="1">
      <alignment horizontal="center" vertical="center"/>
    </xf>
    <xf numFmtId="0" fontId="20" fillId="9" borderId="7" xfId="0" applyFont="1" applyFill="1" applyBorder="1" applyAlignment="1">
      <alignment horizontal="center" vertical="center" wrapText="1"/>
    </xf>
    <xf numFmtId="0" fontId="20" fillId="15" borderId="12" xfId="0" applyFont="1" applyFill="1" applyBorder="1" applyAlignment="1">
      <alignment horizontal="center" vertical="center"/>
    </xf>
    <xf numFmtId="0" fontId="12" fillId="11" borderId="6" xfId="0" applyFont="1" applyFill="1" applyBorder="1" applyAlignment="1">
      <alignment horizontal="left" vertical="center"/>
    </xf>
    <xf numFmtId="189" fontId="12" fillId="11" borderId="7" xfId="2" applyNumberFormat="1" applyFont="1" applyFill="1" applyBorder="1" applyAlignment="1" applyProtection="1">
      <alignment horizontal="center" vertical="center"/>
    </xf>
    <xf numFmtId="0" fontId="12" fillId="0" borderId="39" xfId="0" applyFont="1" applyBorder="1" applyAlignment="1">
      <alignment horizontal="justify" vertical="center"/>
    </xf>
    <xf numFmtId="0" fontId="12" fillId="0" borderId="35" xfId="0" applyFont="1" applyBorder="1" applyAlignment="1">
      <alignment horizontal="justify" vertical="center"/>
    </xf>
    <xf numFmtId="189" fontId="20" fillId="0" borderId="63" xfId="2" applyNumberFormat="1" applyFont="1" applyBorder="1" applyAlignment="1" applyProtection="1">
      <alignment horizontal="center" vertical="center"/>
    </xf>
    <xf numFmtId="189" fontId="12" fillId="0" borderId="48" xfId="2" applyNumberFormat="1" applyFont="1" applyBorder="1" applyAlignment="1" applyProtection="1">
      <alignment horizontal="center" vertical="center"/>
    </xf>
    <xf numFmtId="174" fontId="12" fillId="9" borderId="7" xfId="1" applyNumberFormat="1" applyFont="1" applyFill="1" applyBorder="1" applyAlignment="1" applyProtection="1">
      <alignment horizontal="center" vertical="center" wrapText="1"/>
    </xf>
    <xf numFmtId="174" fontId="12" fillId="11" borderId="39" xfId="1" applyNumberFormat="1" applyFont="1" applyFill="1" applyBorder="1" applyAlignment="1" applyProtection="1">
      <alignment horizontal="center" vertical="center"/>
    </xf>
    <xf numFmtId="190" fontId="12" fillId="17" borderId="39" xfId="2" applyNumberFormat="1" applyFont="1" applyFill="1" applyBorder="1" applyAlignment="1" applyProtection="1">
      <alignment horizontal="center" vertical="center"/>
    </xf>
    <xf numFmtId="190" fontId="0" fillId="11" borderId="21" xfId="0" applyNumberFormat="1" applyFill="1" applyBorder="1" applyAlignment="1">
      <alignment horizontal="center" vertical="center"/>
    </xf>
    <xf numFmtId="190" fontId="0" fillId="26" borderId="21" xfId="0" applyNumberFormat="1" applyFill="1" applyBorder="1" applyAlignment="1">
      <alignment horizontal="center" vertical="center"/>
    </xf>
    <xf numFmtId="174" fontId="12" fillId="11" borderId="35" xfId="1" applyNumberFormat="1" applyFont="1" applyFill="1" applyBorder="1" applyAlignment="1" applyProtection="1">
      <alignment horizontal="center" vertical="center"/>
    </xf>
    <xf numFmtId="190" fontId="0" fillId="11" borderId="62" xfId="0" applyNumberFormat="1" applyFill="1" applyBorder="1" applyAlignment="1">
      <alignment horizontal="center" vertical="center"/>
    </xf>
    <xf numFmtId="190" fontId="0" fillId="26" borderId="62" xfId="0" applyNumberFormat="1" applyFill="1" applyBorder="1" applyAlignment="1">
      <alignment horizontal="center" vertical="center"/>
    </xf>
    <xf numFmtId="0" fontId="0" fillId="11" borderId="7" xfId="0" applyFill="1" applyBorder="1" applyAlignment="1">
      <alignment horizontal="justify" vertical="center" wrapText="1"/>
    </xf>
    <xf numFmtId="174" fontId="12" fillId="11" borderId="7" xfId="1" applyNumberFormat="1" applyFont="1" applyFill="1" applyBorder="1" applyAlignment="1" applyProtection="1">
      <alignment horizontal="center" vertical="center"/>
    </xf>
    <xf numFmtId="190" fontId="12" fillId="17" borderId="7" xfId="2" applyNumberFormat="1" applyFont="1" applyFill="1" applyBorder="1" applyAlignment="1" applyProtection="1">
      <alignment horizontal="center" vertical="center"/>
    </xf>
    <xf numFmtId="190" fontId="0" fillId="11" borderId="7" xfId="0" applyNumberFormat="1" applyFill="1" applyBorder="1" applyAlignment="1">
      <alignment horizontal="center" vertical="center"/>
    </xf>
    <xf numFmtId="190" fontId="0" fillId="26" borderId="36" xfId="0" applyNumberFormat="1" applyFill="1" applyBorder="1" applyAlignment="1">
      <alignment horizontal="center" vertical="center"/>
    </xf>
    <xf numFmtId="190" fontId="0" fillId="11" borderId="39" xfId="0" applyNumberFormat="1" applyFill="1" applyBorder="1" applyAlignment="1">
      <alignment horizontal="center" vertical="center"/>
    </xf>
    <xf numFmtId="190" fontId="12" fillId="17" borderId="35" xfId="2" applyNumberFormat="1" applyFont="1" applyFill="1" applyBorder="1" applyAlignment="1" applyProtection="1">
      <alignment horizontal="center" vertical="center"/>
    </xf>
    <xf numFmtId="189" fontId="12" fillId="26" borderId="35" xfId="2" applyNumberFormat="1" applyFont="1" applyFill="1" applyBorder="1" applyAlignment="1" applyProtection="1">
      <alignment horizontal="center" vertical="center"/>
    </xf>
    <xf numFmtId="190" fontId="0" fillId="11" borderId="35" xfId="0" applyNumberFormat="1" applyFill="1" applyBorder="1" applyAlignment="1">
      <alignment horizontal="center" vertical="center"/>
    </xf>
    <xf numFmtId="191" fontId="53" fillId="0" borderId="64" xfId="2" applyNumberFormat="1" applyBorder="1" applyAlignment="1" applyProtection="1">
      <alignment horizontal="center" vertical="center"/>
    </xf>
    <xf numFmtId="189" fontId="0" fillId="19" borderId="12" xfId="0" applyNumberFormat="1" applyFill="1" applyBorder="1" applyAlignment="1">
      <alignment horizontal="center" vertical="center"/>
    </xf>
    <xf numFmtId="189" fontId="0" fillId="0" borderId="12" xfId="0" applyNumberFormat="1" applyBorder="1" applyAlignment="1">
      <alignment horizontal="center" vertical="center"/>
    </xf>
    <xf numFmtId="190" fontId="0" fillId="10" borderId="12" xfId="0" applyNumberFormat="1" applyFill="1" applyBorder="1" applyAlignment="1">
      <alignment horizontal="center" vertical="center"/>
    </xf>
    <xf numFmtId="190" fontId="0" fillId="10" borderId="13" xfId="0" applyNumberFormat="1" applyFill="1" applyBorder="1" applyAlignment="1">
      <alignment horizontal="center" vertical="center"/>
    </xf>
    <xf numFmtId="168" fontId="17" fillId="0" borderId="63" xfId="0" applyNumberFormat="1" applyFont="1" applyBorder="1" applyAlignment="1">
      <alignment horizontal="center" vertical="center"/>
    </xf>
    <xf numFmtId="168" fontId="17" fillId="20" borderId="63" xfId="0" applyNumberFormat="1" applyFont="1" applyFill="1" applyBorder="1" applyAlignment="1">
      <alignment horizontal="center" vertical="center"/>
    </xf>
    <xf numFmtId="0" fontId="37" fillId="10" borderId="67" xfId="0" applyFont="1" applyFill="1" applyBorder="1" applyAlignment="1">
      <alignment horizontal="center" vertical="center" wrapText="1"/>
    </xf>
    <xf numFmtId="0" fontId="37" fillId="10" borderId="68" xfId="0" applyFont="1" applyFill="1" applyBorder="1" applyAlignment="1">
      <alignment horizontal="center" vertical="center" wrapText="1"/>
    </xf>
    <xf numFmtId="0" fontId="37" fillId="11" borderId="69" xfId="0" applyFont="1" applyFill="1" applyBorder="1" applyAlignment="1">
      <alignment horizontal="left" vertical="center" wrapText="1"/>
    </xf>
    <xf numFmtId="0" fontId="37" fillId="10" borderId="69" xfId="0" applyFont="1" applyFill="1" applyBorder="1" applyAlignment="1">
      <alignment horizontal="center" vertical="center" wrapText="1"/>
    </xf>
    <xf numFmtId="0" fontId="37" fillId="21" borderId="69" xfId="0" applyFont="1" applyFill="1" applyBorder="1" applyAlignment="1" applyProtection="1">
      <alignment horizontal="center" vertical="center" wrapText="1"/>
      <protection locked="0"/>
    </xf>
    <xf numFmtId="4" fontId="37" fillId="10" borderId="69" xfId="0" applyNumberFormat="1" applyFont="1" applyFill="1" applyBorder="1" applyAlignment="1">
      <alignment horizontal="right" vertical="center" wrapText="1"/>
    </xf>
    <xf numFmtId="0" fontId="37" fillId="10" borderId="70" xfId="0" applyFont="1" applyFill="1" applyBorder="1" applyAlignment="1">
      <alignment horizontal="center" vertical="center" wrapText="1"/>
    </xf>
    <xf numFmtId="0" fontId="37" fillId="11" borderId="24" xfId="0" applyFont="1" applyFill="1" applyBorder="1" applyAlignment="1">
      <alignment horizontal="left" vertical="center" wrapText="1"/>
    </xf>
    <xf numFmtId="0" fontId="37" fillId="10" borderId="24" xfId="0" applyFont="1" applyFill="1" applyBorder="1" applyAlignment="1">
      <alignment horizontal="center" vertical="center" wrapText="1"/>
    </xf>
    <xf numFmtId="0" fontId="37" fillId="21" borderId="24" xfId="0" applyFont="1" applyFill="1" applyBorder="1" applyAlignment="1" applyProtection="1">
      <alignment horizontal="center" vertical="center" wrapText="1"/>
      <protection locked="0"/>
    </xf>
    <xf numFmtId="4" fontId="37" fillId="10" borderId="24" xfId="0" applyNumberFormat="1" applyFont="1" applyFill="1" applyBorder="1" applyAlignment="1">
      <alignment horizontal="right" vertical="center" wrapText="1"/>
    </xf>
    <xf numFmtId="176" fontId="0" fillId="0" borderId="16" xfId="0" applyNumberFormat="1" applyBorder="1" applyAlignment="1">
      <alignment vertical="center"/>
    </xf>
    <xf numFmtId="0" fontId="18" fillId="9" borderId="71" xfId="0" applyFont="1" applyFill="1" applyBorder="1" applyAlignment="1">
      <alignment horizontal="center" vertical="center" wrapText="1"/>
    </xf>
    <xf numFmtId="0" fontId="18" fillId="9" borderId="72" xfId="0" applyFont="1" applyFill="1" applyBorder="1" applyAlignment="1">
      <alignment horizontal="center" vertical="center" wrapText="1"/>
    </xf>
    <xf numFmtId="0" fontId="18" fillId="9" borderId="72" xfId="0" applyFont="1" applyFill="1" applyBorder="1" applyAlignment="1">
      <alignment horizontal="right" vertical="center" wrapText="1"/>
    </xf>
    <xf numFmtId="0" fontId="37" fillId="11" borderId="69" xfId="0" applyFont="1" applyFill="1" applyBorder="1" applyAlignment="1">
      <alignment horizontal="center" vertical="center" wrapText="1"/>
    </xf>
    <xf numFmtId="0" fontId="37" fillId="10" borderId="73" xfId="0" applyFont="1" applyFill="1" applyBorder="1" applyAlignment="1">
      <alignment horizontal="center" vertical="center" wrapText="1"/>
    </xf>
    <xf numFmtId="0" fontId="37" fillId="11" borderId="24" xfId="0" applyFont="1" applyFill="1" applyBorder="1" applyAlignment="1">
      <alignment horizontal="center" vertical="center" wrapText="1"/>
    </xf>
    <xf numFmtId="0" fontId="37" fillId="10" borderId="74" xfId="0" applyFont="1" applyFill="1" applyBorder="1" applyAlignment="1">
      <alignment horizontal="center" vertical="center" wrapText="1"/>
    </xf>
    <xf numFmtId="2" fontId="0" fillId="0" borderId="16" xfId="0" applyNumberFormat="1" applyBorder="1" applyAlignment="1">
      <alignment horizontal="right" vertical="center"/>
    </xf>
    <xf numFmtId="0" fontId="18" fillId="9" borderId="75" xfId="0" applyFont="1" applyFill="1" applyBorder="1" applyAlignment="1">
      <alignment horizontal="center" vertical="center" wrapText="1"/>
    </xf>
    <xf numFmtId="0" fontId="0" fillId="9" borderId="5" xfId="0" applyFill="1" applyBorder="1" applyAlignment="1">
      <alignment horizontal="center" vertical="center" wrapText="1"/>
    </xf>
    <xf numFmtId="0" fontId="18" fillId="9" borderId="3" xfId="0" applyFont="1" applyFill="1" applyBorder="1" applyAlignment="1">
      <alignment horizontal="center" vertical="center" wrapText="1"/>
    </xf>
    <xf numFmtId="0" fontId="37" fillId="10" borderId="65" xfId="0" applyFont="1" applyFill="1" applyBorder="1" applyAlignment="1">
      <alignment horizontal="center" vertical="center" wrapText="1"/>
    </xf>
    <xf numFmtId="0" fontId="37" fillId="11" borderId="66" xfId="0" applyFont="1" applyFill="1" applyBorder="1" applyAlignment="1">
      <alignment horizontal="left" vertical="center" wrapText="1"/>
    </xf>
    <xf numFmtId="0" fontId="37" fillId="10" borderId="66" xfId="0" applyFont="1" applyFill="1" applyBorder="1" applyAlignment="1">
      <alignment horizontal="center" vertical="center" wrapText="1"/>
    </xf>
    <xf numFmtId="0" fontId="37" fillId="11" borderId="66" xfId="0" applyFont="1" applyFill="1" applyBorder="1" applyAlignment="1">
      <alignment horizontal="center" vertical="center" wrapText="1"/>
    </xf>
    <xf numFmtId="4" fontId="37" fillId="10" borderId="66" xfId="0" applyNumberFormat="1" applyFont="1" applyFill="1" applyBorder="1" applyAlignment="1">
      <alignment horizontal="right" vertical="center" wrapText="1"/>
    </xf>
    <xf numFmtId="189" fontId="12" fillId="10" borderId="54" xfId="2" applyNumberFormat="1" applyFont="1" applyFill="1" applyBorder="1" applyAlignment="1" applyProtection="1">
      <alignment horizontal="center" vertical="center"/>
    </xf>
    <xf numFmtId="0" fontId="0" fillId="28" borderId="0" xfId="0" applyFill="1"/>
    <xf numFmtId="0" fontId="37" fillId="11" borderId="67" xfId="0" applyFont="1" applyFill="1" applyBorder="1" applyAlignment="1">
      <alignment horizontal="left" vertical="center" wrapText="1"/>
    </xf>
    <xf numFmtId="0" fontId="37" fillId="11" borderId="68" xfId="0" applyFont="1" applyFill="1" applyBorder="1" applyAlignment="1">
      <alignment horizontal="left" vertical="center" wrapText="1"/>
    </xf>
    <xf numFmtId="0" fontId="37" fillId="11" borderId="70" xfId="0" applyFont="1" applyFill="1" applyBorder="1" applyAlignment="1">
      <alignment horizontal="left" vertical="center" wrapText="1"/>
    </xf>
    <xf numFmtId="4" fontId="37" fillId="26" borderId="69" xfId="0" applyNumberFormat="1" applyFont="1" applyFill="1" applyBorder="1" applyAlignment="1">
      <alignment horizontal="right" vertical="center" wrapText="1"/>
    </xf>
    <xf numFmtId="4" fontId="37" fillId="26" borderId="24" xfId="0" applyNumberFormat="1" applyFont="1" applyFill="1" applyBorder="1" applyAlignment="1">
      <alignment horizontal="right" vertical="center" wrapText="1"/>
    </xf>
    <xf numFmtId="0" fontId="18" fillId="9" borderId="76" xfId="0" applyFont="1" applyFill="1" applyBorder="1" applyAlignment="1">
      <alignment horizontal="center" vertical="center" wrapText="1"/>
    </xf>
    <xf numFmtId="0" fontId="37" fillId="10" borderId="66" xfId="0" applyFont="1" applyFill="1" applyBorder="1" applyAlignment="1">
      <alignment horizontal="left" vertical="center" wrapText="1"/>
    </xf>
    <xf numFmtId="3" fontId="46" fillId="11" borderId="66" xfId="0" applyNumberFormat="1" applyFont="1" applyFill="1" applyBorder="1" applyAlignment="1">
      <alignment horizontal="center" vertical="center" wrapText="1"/>
    </xf>
    <xf numFmtId="1" fontId="37" fillId="10" borderId="66" xfId="0" applyNumberFormat="1" applyFont="1" applyFill="1" applyBorder="1" applyAlignment="1">
      <alignment horizontal="center" wrapText="1"/>
    </xf>
    <xf numFmtId="0" fontId="37" fillId="10" borderId="69" xfId="0" applyFont="1" applyFill="1" applyBorder="1" applyAlignment="1">
      <alignment horizontal="left" vertical="center" wrapText="1"/>
    </xf>
    <xf numFmtId="3" fontId="46" fillId="11" borderId="69" xfId="0" applyNumberFormat="1" applyFont="1" applyFill="1" applyBorder="1" applyAlignment="1">
      <alignment horizontal="center" vertical="center" wrapText="1"/>
    </xf>
    <xf numFmtId="1" fontId="37" fillId="10" borderId="69" xfId="0" applyNumberFormat="1" applyFont="1" applyFill="1" applyBorder="1" applyAlignment="1">
      <alignment horizontal="center" wrapText="1"/>
    </xf>
    <xf numFmtId="0" fontId="69" fillId="0" borderId="0" xfId="0" applyFont="1"/>
    <xf numFmtId="168" fontId="2" fillId="32" borderId="4" xfId="1" applyNumberFormat="1" applyFont="1" applyFill="1" applyBorder="1" applyAlignment="1" applyProtection="1">
      <alignment horizontal="center" vertical="center"/>
    </xf>
    <xf numFmtId="0" fontId="73" fillId="10" borderId="60" xfId="0" applyFont="1" applyFill="1" applyBorder="1" applyAlignment="1">
      <alignment horizontal="left" vertical="center" wrapText="1"/>
    </xf>
    <xf numFmtId="0" fontId="73" fillId="10" borderId="61" xfId="0" applyFont="1" applyFill="1" applyBorder="1" applyAlignment="1">
      <alignment horizontal="left" vertical="center"/>
    </xf>
    <xf numFmtId="168" fontId="2" fillId="20" borderId="4" xfId="1" applyNumberFormat="1" applyFont="1" applyFill="1" applyBorder="1" applyAlignment="1" applyProtection="1">
      <alignment horizontal="center" vertical="center"/>
    </xf>
    <xf numFmtId="168" fontId="2" fillId="10" borderId="4" xfId="1" applyNumberFormat="1" applyFont="1" applyFill="1" applyBorder="1" applyAlignment="1" applyProtection="1">
      <alignment horizontal="center" vertical="center"/>
    </xf>
    <xf numFmtId="200" fontId="0" fillId="0" borderId="0" xfId="0" applyNumberFormat="1"/>
    <xf numFmtId="0" fontId="0" fillId="9" borderId="0" xfId="0" applyFill="1" applyAlignment="1">
      <alignment horizontal="center" vertical="center" wrapText="1"/>
    </xf>
    <xf numFmtId="0" fontId="34" fillId="0" borderId="0" xfId="0" applyFont="1"/>
    <xf numFmtId="186" fontId="75" fillId="27" borderId="22" xfId="2" applyFont="1" applyFill="1" applyBorder="1" applyAlignment="1" applyProtection="1">
      <alignment horizontal="center" vertical="center"/>
    </xf>
    <xf numFmtId="186" fontId="75" fillId="27" borderId="18" xfId="2" applyFont="1" applyFill="1" applyBorder="1" applyAlignment="1" applyProtection="1">
      <alignment horizontal="center" vertical="center"/>
    </xf>
    <xf numFmtId="186" fontId="76" fillId="17" borderId="22" xfId="2" applyFont="1" applyFill="1" applyBorder="1" applyAlignment="1" applyProtection="1">
      <alignment horizontal="center" vertical="center"/>
    </xf>
    <xf numFmtId="186" fontId="76" fillId="17" borderId="23" xfId="2" applyFont="1" applyFill="1" applyBorder="1" applyAlignment="1" applyProtection="1">
      <alignment horizontal="center" vertical="center"/>
    </xf>
    <xf numFmtId="186" fontId="76" fillId="17" borderId="18" xfId="2" applyFont="1" applyFill="1" applyBorder="1" applyAlignment="1" applyProtection="1">
      <alignment horizontal="center" vertical="center"/>
    </xf>
    <xf numFmtId="176" fontId="0" fillId="0" borderId="11" xfId="0" applyNumberFormat="1" applyBorder="1" applyAlignment="1">
      <alignment vertical="center"/>
    </xf>
    <xf numFmtId="190" fontId="12" fillId="11" borderId="22" xfId="2" applyNumberFormat="1" applyFont="1" applyFill="1" applyBorder="1" applyAlignment="1" applyProtection="1">
      <alignment horizontal="center" vertical="center"/>
    </xf>
    <xf numFmtId="190" fontId="12" fillId="11" borderId="23" xfId="2" applyNumberFormat="1" applyFont="1" applyFill="1" applyBorder="1" applyAlignment="1" applyProtection="1">
      <alignment horizontal="center" vertical="center"/>
    </xf>
    <xf numFmtId="190" fontId="12" fillId="11" borderId="18" xfId="2" applyNumberFormat="1" applyFont="1" applyFill="1" applyBorder="1" applyAlignment="1" applyProtection="1">
      <alignment horizontal="center" vertical="center"/>
    </xf>
    <xf numFmtId="0" fontId="12" fillId="9" borderId="4" xfId="0" applyFont="1" applyFill="1" applyBorder="1" applyAlignment="1">
      <alignment horizontal="center" vertical="center" wrapText="1"/>
    </xf>
    <xf numFmtId="189" fontId="12" fillId="17" borderId="39" xfId="2" applyNumberFormat="1" applyFont="1" applyFill="1" applyBorder="1" applyAlignment="1" applyProtection="1">
      <alignment horizontal="center" vertical="center"/>
    </xf>
    <xf numFmtId="189" fontId="12" fillId="17" borderId="26" xfId="2" applyNumberFormat="1" applyFont="1" applyFill="1" applyBorder="1" applyAlignment="1" applyProtection="1">
      <alignment horizontal="center" vertical="center"/>
    </xf>
    <xf numFmtId="189" fontId="12" fillId="17" borderId="35" xfId="2" applyNumberFormat="1" applyFont="1" applyFill="1" applyBorder="1" applyAlignment="1" applyProtection="1">
      <alignment horizontal="center" vertical="center"/>
    </xf>
    <xf numFmtId="0" fontId="0" fillId="15" borderId="0" xfId="0" applyFill="1" applyProtection="1">
      <protection locked="0"/>
    </xf>
    <xf numFmtId="17" fontId="0" fillId="0" borderId="0" xfId="0" applyNumberFormat="1" applyProtection="1">
      <protection locked="0"/>
    </xf>
    <xf numFmtId="196" fontId="0" fillId="0" borderId="0" xfId="0" applyNumberFormat="1" applyProtection="1">
      <protection locked="0"/>
    </xf>
    <xf numFmtId="201" fontId="74" fillId="0" borderId="0" xfId="28" applyNumberFormat="1" applyFont="1" applyAlignment="1" applyProtection="1">
      <alignment horizontal="right"/>
      <protection locked="0"/>
    </xf>
    <xf numFmtId="0" fontId="0" fillId="0" borderId="0" xfId="0" applyProtection="1">
      <protection locked="0"/>
    </xf>
    <xf numFmtId="0" fontId="74" fillId="0" borderId="0" xfId="28" applyFont="1" applyAlignment="1" applyProtection="1">
      <alignment horizontal="right"/>
      <protection locked="0"/>
    </xf>
    <xf numFmtId="164" fontId="0" fillId="0" borderId="0" xfId="26" applyFont="1" applyProtection="1">
      <protection locked="0"/>
    </xf>
    <xf numFmtId="200" fontId="0" fillId="0" borderId="0" xfId="0" applyNumberFormat="1" applyProtection="1">
      <protection locked="0"/>
    </xf>
    <xf numFmtId="14" fontId="0" fillId="0" borderId="0" xfId="0" applyNumberFormat="1" applyAlignment="1" applyProtection="1">
      <alignment horizontal="center" vertical="center" wrapText="1"/>
      <protection locked="0"/>
    </xf>
    <xf numFmtId="0" fontId="77" fillId="0" borderId="77" xfId="0" applyFont="1" applyBorder="1" applyAlignment="1">
      <alignment horizontal="center" vertical="center" wrapText="1"/>
    </xf>
    <xf numFmtId="202" fontId="2" fillId="9" borderId="2" xfId="0" applyNumberFormat="1" applyFont="1" applyFill="1" applyBorder="1" applyAlignment="1">
      <alignment horizontal="center"/>
    </xf>
    <xf numFmtId="0" fontId="17" fillId="9" borderId="0" xfId="0" applyFont="1" applyFill="1" applyAlignment="1">
      <alignment horizontal="center" vertical="center" wrapText="1"/>
    </xf>
    <xf numFmtId="0" fontId="17" fillId="9" borderId="78" xfId="0" applyFont="1" applyFill="1" applyBorder="1" applyAlignment="1">
      <alignment horizontal="center" vertical="center" wrapText="1"/>
    </xf>
    <xf numFmtId="0" fontId="0" fillId="15" borderId="0" xfId="0" applyFill="1" applyProtection="1">
      <protection locked="0"/>
      <extLst>
        <ext xmlns:xfpb="http://schemas.microsoft.com/office/spreadsheetml/2022/featurepropertybag" uri="{C7286773-470A-42A8-94C5-96B5CB345126}">
          <xfpb:xfComplement i="0"/>
        </ext>
      </extLst>
    </xf>
    <xf numFmtId="0" fontId="0" fillId="15" borderId="0" xfId="0" applyFill="1" applyAlignment="1">
      <alignment horizontal="left" vertical="center"/>
    </xf>
    <xf numFmtId="0" fontId="0" fillId="15" borderId="56" xfId="0" applyFill="1" applyBorder="1" applyProtection="1">
      <protection locked="0"/>
      <extLst>
        <ext xmlns:xfpb="http://schemas.microsoft.com/office/spreadsheetml/2022/featurepropertybag" uri="{C7286773-470A-42A8-94C5-96B5CB345126}">
          <xfpb:xfComplement i="0"/>
        </ext>
      </extLst>
    </xf>
    <xf numFmtId="203" fontId="0" fillId="0" borderId="0" xfId="0" applyNumberFormat="1"/>
    <xf numFmtId="4" fontId="37" fillId="10" borderId="68" xfId="0" applyNumberFormat="1" applyFont="1" applyFill="1" applyBorder="1" applyAlignment="1">
      <alignment horizontal="right" vertical="center" wrapText="1"/>
    </xf>
    <xf numFmtId="0" fontId="18" fillId="9" borderId="79" xfId="0" applyFont="1" applyFill="1" applyBorder="1" applyAlignment="1">
      <alignment horizontal="center" vertical="center" wrapText="1"/>
    </xf>
    <xf numFmtId="0" fontId="0" fillId="9" borderId="6" xfId="0" applyFill="1" applyBorder="1" applyAlignment="1">
      <alignment horizontal="center"/>
    </xf>
    <xf numFmtId="0" fontId="0" fillId="11" borderId="23" xfId="0" applyFill="1" applyBorder="1" applyAlignment="1">
      <alignment horizontal="center"/>
    </xf>
    <xf numFmtId="0" fontId="0" fillId="11" borderId="18" xfId="0" applyFill="1" applyBorder="1" applyAlignment="1">
      <alignment horizontal="center"/>
    </xf>
    <xf numFmtId="0" fontId="0" fillId="0" borderId="0" xfId="0" applyAlignment="1">
      <alignment horizontal="center"/>
    </xf>
    <xf numFmtId="0" fontId="0" fillId="11" borderId="22" xfId="0" applyFill="1" applyBorder="1" applyAlignment="1">
      <alignment horizontal="center"/>
    </xf>
    <xf numFmtId="0" fontId="0" fillId="11" borderId="9" xfId="0" applyFill="1" applyBorder="1" applyAlignment="1">
      <alignment horizontal="center" vertical="center"/>
    </xf>
    <xf numFmtId="0" fontId="0" fillId="11" borderId="41" xfId="0" applyFill="1" applyBorder="1" applyAlignment="1">
      <alignment horizontal="justify" vertical="center"/>
    </xf>
    <xf numFmtId="0" fontId="0" fillId="9" borderId="50" xfId="0" applyFill="1" applyBorder="1" applyAlignment="1">
      <alignment horizontal="center" vertical="center"/>
    </xf>
    <xf numFmtId="0" fontId="0" fillId="11" borderId="4" xfId="0" applyFill="1" applyBorder="1" applyAlignment="1">
      <alignment horizontal="justify" vertical="center"/>
    </xf>
    <xf numFmtId="0" fontId="0" fillId="11" borderId="37" xfId="0" applyFill="1" applyBorder="1" applyAlignment="1">
      <alignment horizontal="right"/>
    </xf>
    <xf numFmtId="0" fontId="0" fillId="11" borderId="40" xfId="0" applyFill="1" applyBorder="1" applyAlignment="1">
      <alignment horizontal="right"/>
    </xf>
    <xf numFmtId="0" fontId="0" fillId="11" borderId="41" xfId="0" applyFill="1" applyBorder="1" applyAlignment="1">
      <alignment horizontal="right"/>
    </xf>
    <xf numFmtId="0" fontId="0" fillId="11" borderId="47" xfId="0" applyFill="1" applyBorder="1" applyAlignment="1">
      <alignment horizontal="center" vertical="center"/>
    </xf>
    <xf numFmtId="0" fontId="0" fillId="11" borderId="37" xfId="0" applyFill="1" applyBorder="1" applyAlignment="1">
      <alignment horizontal="justify" vertical="center"/>
    </xf>
    <xf numFmtId="0" fontId="0" fillId="11" borderId="49" xfId="0" applyFill="1" applyBorder="1" applyAlignment="1">
      <alignment horizontal="center" vertical="center"/>
    </xf>
    <xf numFmtId="0" fontId="0" fillId="11" borderId="40" xfId="0" applyFill="1" applyBorder="1" applyAlignment="1">
      <alignment horizontal="justify" vertical="center"/>
    </xf>
    <xf numFmtId="0" fontId="0" fillId="11" borderId="9" xfId="0" applyFill="1" applyBorder="1" applyAlignment="1">
      <alignment horizontal="justify" vertical="center"/>
    </xf>
    <xf numFmtId="0" fontId="0" fillId="9" borderId="11" xfId="0" applyFill="1" applyBorder="1" applyAlignment="1">
      <alignment horizontal="center" vertical="center"/>
    </xf>
    <xf numFmtId="0" fontId="16" fillId="9" borderId="0" xfId="0" applyFont="1" applyFill="1" applyAlignment="1">
      <alignment horizontal="center" vertical="center"/>
    </xf>
    <xf numFmtId="0" fontId="0" fillId="9" borderId="4" xfId="0" applyFill="1" applyBorder="1" applyAlignment="1">
      <alignment horizontal="center" vertical="center"/>
    </xf>
    <xf numFmtId="0" fontId="0" fillId="9" borderId="5" xfId="0" applyFill="1" applyBorder="1" applyAlignment="1">
      <alignment horizontal="center" vertical="center"/>
    </xf>
    <xf numFmtId="0" fontId="0" fillId="9" borderId="36" xfId="0" applyFill="1" applyBorder="1" applyAlignment="1">
      <alignment horizontal="center" vertical="center" wrapText="1"/>
    </xf>
    <xf numFmtId="0" fontId="60" fillId="0" borderId="0" xfId="0" applyFont="1" applyAlignment="1">
      <alignment horizontal="left"/>
    </xf>
    <xf numFmtId="165" fontId="17" fillId="9" borderId="11" xfId="18" applyFont="1" applyFill="1" applyBorder="1" applyAlignment="1">
      <alignment horizontal="center" vertical="center" wrapText="1"/>
    </xf>
    <xf numFmtId="165" fontId="17" fillId="9" borderId="4" xfId="18" applyFont="1" applyFill="1" applyBorder="1" applyAlignment="1">
      <alignment horizontal="center" vertical="center" wrapText="1"/>
    </xf>
    <xf numFmtId="165" fontId="2" fillId="9" borderId="4" xfId="18" applyFont="1" applyFill="1" applyBorder="1" applyAlignment="1">
      <alignment horizontal="center" vertical="center"/>
    </xf>
    <xf numFmtId="165" fontId="2" fillId="26" borderId="22" xfId="18" applyFont="1" applyFill="1" applyBorder="1" applyAlignment="1">
      <alignment horizontal="right" vertical="center"/>
    </xf>
    <xf numFmtId="165" fontId="2" fillId="9" borderId="4" xfId="18" applyFont="1" applyFill="1" applyBorder="1" applyAlignment="1">
      <alignment horizontal="center" vertical="center" wrapText="1"/>
    </xf>
    <xf numFmtId="10" fontId="32" fillId="11" borderId="4" xfId="3" applyNumberFormat="1" applyFont="1" applyFill="1" applyBorder="1" applyAlignment="1" applyProtection="1">
      <alignment horizontal="center" vertical="center"/>
    </xf>
    <xf numFmtId="165" fontId="2" fillId="26" borderId="11" xfId="18" applyFont="1" applyFill="1" applyBorder="1" applyAlignment="1">
      <alignment horizontal="right" vertical="center"/>
    </xf>
    <xf numFmtId="0" fontId="2" fillId="9" borderId="4" xfId="0" applyFont="1" applyFill="1" applyBorder="1" applyAlignment="1">
      <alignment horizontal="center" vertical="center" wrapText="1"/>
    </xf>
    <xf numFmtId="169" fontId="2" fillId="10" borderId="4" xfId="1" applyNumberFormat="1" applyFont="1" applyFill="1" applyBorder="1" applyAlignment="1" applyProtection="1">
      <alignment horizontal="center" vertical="center"/>
    </xf>
    <xf numFmtId="10" fontId="32" fillId="11" borderId="4" xfId="3" applyNumberFormat="1" applyFont="1" applyFill="1" applyBorder="1" applyAlignment="1" applyProtection="1">
      <alignment horizontal="center" vertical="center" wrapText="1"/>
    </xf>
    <xf numFmtId="10" fontId="34" fillId="11" borderId="4" xfId="3" applyNumberFormat="1" applyFont="1" applyFill="1" applyBorder="1" applyAlignment="1" applyProtection="1">
      <alignment horizontal="center" vertical="center" wrapText="1"/>
    </xf>
    <xf numFmtId="0" fontId="2" fillId="9" borderId="0" xfId="0" applyFont="1" applyFill="1" applyAlignment="1">
      <alignment horizontal="center" vertical="center"/>
    </xf>
    <xf numFmtId="0" fontId="17" fillId="9" borderId="20" xfId="0" applyFont="1" applyFill="1" applyBorder="1" applyAlignment="1">
      <alignment horizontal="center" vertical="center" wrapText="1"/>
    </xf>
    <xf numFmtId="0" fontId="0" fillId="0" borderId="0" xfId="0" applyAlignment="1">
      <alignment horizontal="center" shrinkToFit="1"/>
    </xf>
    <xf numFmtId="0" fontId="17" fillId="9" borderId="11" xfId="0" applyFont="1" applyFill="1" applyBorder="1" applyAlignment="1">
      <alignment horizontal="center" vertical="center"/>
    </xf>
    <xf numFmtId="0" fontId="17" fillId="9" borderId="20" xfId="0" applyFont="1" applyFill="1" applyBorder="1" applyAlignment="1">
      <alignment horizontal="center" vertical="center"/>
    </xf>
    <xf numFmtId="0" fontId="17" fillId="9" borderId="4" xfId="0" applyFont="1" applyFill="1" applyBorder="1" applyAlignment="1">
      <alignment horizontal="center" vertical="center"/>
    </xf>
    <xf numFmtId="0" fontId="17" fillId="9" borderId="19" xfId="0" applyFont="1" applyFill="1" applyBorder="1" applyAlignment="1">
      <alignment horizontal="center" vertical="center" wrapText="1"/>
    </xf>
    <xf numFmtId="0" fontId="17" fillId="30" borderId="20" xfId="0" applyFont="1" applyFill="1" applyBorder="1" applyAlignment="1">
      <alignment horizontal="center" vertical="center" wrapText="1"/>
    </xf>
    <xf numFmtId="0" fontId="17" fillId="30" borderId="19" xfId="0" applyFont="1" applyFill="1" applyBorder="1" applyAlignment="1">
      <alignment horizontal="center" vertical="center" wrapText="1"/>
    </xf>
    <xf numFmtId="0" fontId="20" fillId="9" borderId="4" xfId="0" applyFont="1" applyFill="1" applyBorder="1"/>
    <xf numFmtId="0" fontId="20" fillId="9" borderId="11" xfId="0" applyFont="1" applyFill="1" applyBorder="1" applyAlignment="1">
      <alignment horizontal="left" vertical="center"/>
    </xf>
    <xf numFmtId="0" fontId="18" fillId="9" borderId="9" xfId="0" applyFont="1" applyFill="1" applyBorder="1" applyAlignment="1">
      <alignment horizontal="center" vertical="center"/>
    </xf>
    <xf numFmtId="0" fontId="18" fillId="9" borderId="18" xfId="0" applyFont="1" applyFill="1" applyBorder="1" applyAlignment="1">
      <alignment horizontal="center" vertical="center"/>
    </xf>
    <xf numFmtId="0" fontId="18" fillId="9" borderId="17" xfId="0" applyFont="1" applyFill="1" applyBorder="1" applyAlignment="1">
      <alignment horizontal="left" vertical="center"/>
    </xf>
    <xf numFmtId="0" fontId="18" fillId="9" borderId="16" xfId="0" applyFont="1" applyFill="1" applyBorder="1" applyAlignment="1">
      <alignment horizontal="left" vertical="center"/>
    </xf>
    <xf numFmtId="0" fontId="18" fillId="9" borderId="4" xfId="0" applyFont="1" applyFill="1" applyBorder="1" applyAlignment="1">
      <alignment horizontal="left" vertical="center"/>
    </xf>
    <xf numFmtId="0" fontId="18" fillId="9" borderId="4" xfId="0" applyFont="1" applyFill="1" applyBorder="1" applyAlignment="1">
      <alignment horizontal="center" vertical="center"/>
    </xf>
    <xf numFmtId="0" fontId="19" fillId="9" borderId="11" xfId="0" applyFont="1" applyFill="1" applyBorder="1" applyAlignment="1">
      <alignment horizontal="left" vertical="center"/>
    </xf>
    <xf numFmtId="0" fontId="20" fillId="9" borderId="10" xfId="0" applyFont="1" applyFill="1" applyBorder="1" applyAlignment="1">
      <alignment horizontal="left" vertical="center"/>
    </xf>
    <xf numFmtId="0" fontId="20" fillId="9" borderId="5" xfId="0" applyFont="1" applyFill="1" applyBorder="1"/>
    <xf numFmtId="0" fontId="20" fillId="9" borderId="12" xfId="0" applyFont="1" applyFill="1" applyBorder="1"/>
    <xf numFmtId="0" fontId="18" fillId="9" borderId="5" xfId="0" applyFont="1" applyFill="1" applyBorder="1" applyAlignment="1">
      <alignment horizontal="center" vertical="center"/>
    </xf>
    <xf numFmtId="0" fontId="17" fillId="11" borderId="5" xfId="0" applyFont="1" applyFill="1" applyBorder="1" applyAlignment="1">
      <alignment horizontal="center" vertical="center"/>
    </xf>
    <xf numFmtId="0" fontId="17" fillId="9" borderId="5" xfId="0" applyFont="1" applyFill="1" applyBorder="1" applyAlignment="1">
      <alignment horizontal="center" vertical="center"/>
    </xf>
    <xf numFmtId="0" fontId="22" fillId="9" borderId="11" xfId="0" applyFont="1" applyFill="1" applyBorder="1" applyAlignment="1">
      <alignment horizontal="left" vertical="center"/>
    </xf>
    <xf numFmtId="168" fontId="2" fillId="29" borderId="5" xfId="0" applyNumberFormat="1" applyFont="1" applyFill="1" applyBorder="1" applyAlignment="1">
      <alignment horizontal="center" vertical="center"/>
    </xf>
    <xf numFmtId="168" fontId="2" fillId="29" borderId="12" xfId="0" applyNumberFormat="1" applyFont="1" applyFill="1" applyBorder="1" applyAlignment="1">
      <alignment horizontal="center" vertical="center"/>
    </xf>
    <xf numFmtId="168" fontId="2" fillId="29" borderId="13" xfId="0" applyNumberFormat="1" applyFont="1" applyFill="1" applyBorder="1" applyAlignment="1">
      <alignment horizontal="center" vertical="center"/>
    </xf>
    <xf numFmtId="0" fontId="0" fillId="15" borderId="5" xfId="0" applyFill="1" applyBorder="1" applyAlignment="1">
      <alignment horizontal="center"/>
    </xf>
    <xf numFmtId="0" fontId="0" fillId="15" borderId="12" xfId="0" applyFill="1" applyBorder="1" applyAlignment="1">
      <alignment horizontal="center"/>
    </xf>
    <xf numFmtId="0" fontId="0" fillId="15" borderId="13" xfId="0" applyFill="1" applyBorder="1" applyAlignment="1">
      <alignment horizontal="center"/>
    </xf>
    <xf numFmtId="0" fontId="0" fillId="15" borderId="33" xfId="0" applyFill="1" applyBorder="1" applyAlignment="1" applyProtection="1">
      <alignment horizontal="center" textRotation="90"/>
      <protection hidden="1"/>
    </xf>
    <xf numFmtId="0" fontId="14" fillId="0" borderId="0" xfId="0" applyFont="1" applyAlignment="1">
      <alignment horizontal="center" vertical="center" wrapText="1"/>
    </xf>
    <xf numFmtId="0" fontId="15" fillId="9" borderId="4" xfId="0" applyFont="1" applyFill="1" applyBorder="1" applyAlignment="1">
      <alignment horizontal="center" vertical="center"/>
    </xf>
    <xf numFmtId="0" fontId="16" fillId="9" borderId="5" xfId="0" applyFont="1" applyFill="1" applyBorder="1" applyAlignment="1">
      <alignment horizontal="center" vertical="center" wrapText="1"/>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15" fillId="9" borderId="6" xfId="0" applyFont="1" applyFill="1" applyBorder="1" applyAlignment="1">
      <alignment horizontal="center" vertical="center" wrapText="1"/>
    </xf>
    <xf numFmtId="0" fontId="15" fillId="9" borderId="4" xfId="0" applyFont="1" applyFill="1" applyBorder="1" applyAlignment="1">
      <alignment horizontal="center" vertical="center" wrapText="1"/>
    </xf>
    <xf numFmtId="0" fontId="17" fillId="13" borderId="0" xfId="0" applyFont="1" applyFill="1" applyAlignment="1">
      <alignment horizontal="center" vertical="center" wrapText="1"/>
    </xf>
    <xf numFmtId="0" fontId="17" fillId="25" borderId="0" xfId="0" applyFont="1" applyFill="1" applyAlignment="1">
      <alignment horizontal="center" vertical="center" wrapText="1"/>
    </xf>
    <xf numFmtId="0" fontId="2" fillId="11" borderId="2" xfId="0" applyFont="1" applyFill="1" applyBorder="1" applyAlignment="1">
      <alignment horizontal="center" vertical="center" wrapText="1"/>
    </xf>
    <xf numFmtId="179" fontId="17" fillId="10" borderId="2" xfId="0" applyNumberFormat="1" applyFont="1" applyFill="1" applyBorder="1" applyAlignment="1">
      <alignment horizontal="center" vertical="center"/>
    </xf>
    <xf numFmtId="0" fontId="2" fillId="9" borderId="2" xfId="0" applyFont="1" applyFill="1" applyBorder="1" applyAlignment="1">
      <alignment horizontal="center" vertical="center"/>
    </xf>
    <xf numFmtId="0" fontId="2" fillId="9" borderId="24" xfId="0" applyFont="1" applyFill="1" applyBorder="1" applyAlignment="1">
      <alignment horizontal="center" vertical="center" wrapText="1"/>
    </xf>
    <xf numFmtId="0" fontId="2" fillId="11" borderId="24" xfId="0" applyFont="1" applyFill="1" applyBorder="1" applyAlignment="1">
      <alignment horizontal="center" vertical="center" wrapText="1"/>
    </xf>
    <xf numFmtId="3" fontId="17" fillId="10" borderId="2" xfId="0" applyNumberFormat="1" applyFont="1" applyFill="1" applyBorder="1" applyAlignment="1">
      <alignment horizontal="center" vertical="center"/>
    </xf>
    <xf numFmtId="174" fontId="36" fillId="9" borderId="2" xfId="0" applyNumberFormat="1" applyFont="1" applyFill="1" applyBorder="1" applyAlignment="1">
      <alignment horizontal="center" vertical="center" wrapText="1"/>
    </xf>
    <xf numFmtId="174" fontId="2" fillId="9" borderId="2" xfId="0" applyNumberFormat="1" applyFont="1" applyFill="1" applyBorder="1" applyAlignment="1">
      <alignment horizontal="center" vertical="center"/>
    </xf>
    <xf numFmtId="0" fontId="36" fillId="9" borderId="2" xfId="0" applyFont="1" applyFill="1" applyBorder="1" applyAlignment="1">
      <alignment horizontal="center" vertical="center"/>
    </xf>
    <xf numFmtId="0" fontId="40" fillId="0" borderId="33" xfId="0" applyFont="1" applyBorder="1" applyAlignment="1">
      <alignment horizontal="right"/>
    </xf>
    <xf numFmtId="176" fontId="40" fillId="10" borderId="22" xfId="3" applyNumberFormat="1" applyFont="1" applyFill="1" applyBorder="1" applyAlignment="1" applyProtection="1">
      <alignment horizontal="center" vertical="center" wrapText="1"/>
    </xf>
    <xf numFmtId="0" fontId="39" fillId="9" borderId="26" xfId="0" applyFont="1" applyFill="1" applyBorder="1" applyAlignment="1">
      <alignment horizontal="left" vertical="center"/>
    </xf>
    <xf numFmtId="0" fontId="39" fillId="9" borderId="32" xfId="0" applyFont="1" applyFill="1" applyBorder="1" applyAlignment="1">
      <alignment horizontal="left" vertical="center" wrapText="1"/>
    </xf>
    <xf numFmtId="9" fontId="39" fillId="9" borderId="26" xfId="3" applyFont="1" applyFill="1" applyBorder="1" applyAlignment="1" applyProtection="1">
      <alignment horizontal="center" vertical="center" textRotation="90"/>
    </xf>
    <xf numFmtId="0" fontId="40" fillId="9" borderId="27" xfId="0" applyFont="1" applyFill="1" applyBorder="1" applyAlignment="1">
      <alignment horizontal="left" vertical="center"/>
    </xf>
    <xf numFmtId="0" fontId="39" fillId="14" borderId="28" xfId="0" applyFont="1" applyFill="1" applyBorder="1" applyAlignment="1">
      <alignment horizontal="left" vertical="center" wrapText="1"/>
    </xf>
    <xf numFmtId="3" fontId="14" fillId="12" borderId="26" xfId="0" applyNumberFormat="1" applyFont="1" applyFill="1" applyBorder="1" applyAlignment="1" applyProtection="1">
      <alignment horizontal="center" vertical="center"/>
      <protection locked="0"/>
    </xf>
    <xf numFmtId="0" fontId="39" fillId="9" borderId="30" xfId="0" applyFont="1" applyFill="1" applyBorder="1" applyAlignment="1">
      <alignment horizontal="left" vertical="center" wrapText="1"/>
    </xf>
    <xf numFmtId="0" fontId="43" fillId="9" borderId="26" xfId="0" applyFont="1" applyFill="1" applyBorder="1" applyAlignment="1">
      <alignment horizontal="left" vertical="center"/>
    </xf>
    <xf numFmtId="0" fontId="43" fillId="9" borderId="30" xfId="0" applyFont="1" applyFill="1" applyBorder="1" applyAlignment="1">
      <alignment horizontal="left" vertical="center"/>
    </xf>
    <xf numFmtId="0" fontId="43" fillId="9" borderId="26" xfId="0" applyFont="1" applyFill="1" applyBorder="1" applyAlignment="1">
      <alignment horizontal="left" vertical="center" wrapText="1"/>
    </xf>
    <xf numFmtId="176" fontId="40" fillId="10" borderId="27" xfId="3" applyNumberFormat="1" applyFont="1" applyFill="1" applyBorder="1" applyAlignment="1" applyProtection="1">
      <alignment horizontal="center" vertical="center" wrapText="1"/>
    </xf>
    <xf numFmtId="0" fontId="40" fillId="0" borderId="0" xfId="0" applyFont="1" applyAlignment="1">
      <alignment horizontal="center"/>
    </xf>
    <xf numFmtId="0" fontId="39" fillId="0" borderId="0" xfId="0" applyFont="1" applyAlignment="1">
      <alignment horizontal="left" vertical="center" wrapText="1"/>
    </xf>
    <xf numFmtId="0" fontId="42" fillId="0" borderId="0" xfId="0" applyFont="1" applyAlignment="1">
      <alignment horizontal="left" vertical="center" wrapText="1"/>
    </xf>
    <xf numFmtId="176" fontId="45" fillId="10" borderId="22" xfId="3" applyNumberFormat="1" applyFont="1" applyFill="1" applyBorder="1" applyAlignment="1" applyProtection="1">
      <alignment horizontal="center" vertical="center" wrapText="1"/>
    </xf>
    <xf numFmtId="0" fontId="39" fillId="9" borderId="35" xfId="0" applyFont="1" applyFill="1" applyBorder="1" applyAlignment="1">
      <alignment horizontal="left" vertical="center" wrapText="1"/>
    </xf>
    <xf numFmtId="0" fontId="41" fillId="12" borderId="34" xfId="0" applyFont="1" applyFill="1" applyBorder="1" applyAlignment="1" applyProtection="1">
      <alignment horizontal="center" vertical="center"/>
      <protection locked="0"/>
    </xf>
    <xf numFmtId="0" fontId="39" fillId="9" borderId="26" xfId="0" applyFont="1" applyFill="1" applyBorder="1" applyAlignment="1">
      <alignment horizontal="left" vertical="center" wrapText="1"/>
    </xf>
    <xf numFmtId="0" fontId="44" fillId="0" borderId="0" xfId="0" applyFont="1" applyAlignment="1">
      <alignment horizontal="left" vertical="center" wrapText="1"/>
    </xf>
    <xf numFmtId="0" fontId="39" fillId="0" borderId="0" xfId="0" applyFont="1" applyAlignment="1">
      <alignment horizontal="center" vertical="center" wrapText="1"/>
    </xf>
    <xf numFmtId="0" fontId="44" fillId="0" borderId="0" xfId="0" applyFont="1" applyAlignment="1">
      <alignment horizontal="center" vertical="center" wrapText="1"/>
    </xf>
    <xf numFmtId="0" fontId="0" fillId="11" borderId="23" xfId="0" applyFill="1" applyBorder="1" applyAlignment="1">
      <alignment horizontal="justify" vertical="center"/>
    </xf>
    <xf numFmtId="0" fontId="0" fillId="11" borderId="18" xfId="0" applyFill="1" applyBorder="1" applyAlignment="1">
      <alignment horizontal="justify" vertical="center"/>
    </xf>
    <xf numFmtId="0" fontId="20" fillId="9" borderId="16" xfId="0" applyFont="1" applyFill="1" applyBorder="1" applyAlignment="1">
      <alignment horizontal="center" vertical="center"/>
    </xf>
    <xf numFmtId="0" fontId="0" fillId="11" borderId="22" xfId="0" applyFill="1" applyBorder="1" applyAlignment="1">
      <alignment horizontal="justify" vertical="center"/>
    </xf>
    <xf numFmtId="0" fontId="0" fillId="11" borderId="6" xfId="0" applyFill="1" applyBorder="1" applyAlignment="1">
      <alignment horizontal="center" vertical="center"/>
    </xf>
    <xf numFmtId="0" fontId="0" fillId="11" borderId="7" xfId="0" applyFill="1" applyBorder="1" applyAlignment="1">
      <alignment horizontal="center" vertical="center" wrapText="1"/>
    </xf>
    <xf numFmtId="189" fontId="12" fillId="13" borderId="37" xfId="2" applyNumberFormat="1" applyFont="1" applyFill="1" applyBorder="1" applyAlignment="1" applyProtection="1">
      <alignment horizontal="center" vertical="center"/>
    </xf>
    <xf numFmtId="189" fontId="12" fillId="13" borderId="39" xfId="2" applyNumberFormat="1" applyFont="1" applyFill="1" applyBorder="1" applyAlignment="1" applyProtection="1">
      <alignment horizontal="center" vertical="center"/>
    </xf>
    <xf numFmtId="189" fontId="12" fillId="13" borderId="41" xfId="2" applyNumberFormat="1" applyFont="1" applyFill="1" applyBorder="1" applyAlignment="1" applyProtection="1">
      <alignment horizontal="center" vertical="center"/>
    </xf>
    <xf numFmtId="189" fontId="12" fillId="13" borderId="35" xfId="2" applyNumberFormat="1" applyFont="1" applyFill="1" applyBorder="1" applyAlignment="1" applyProtection="1">
      <alignment horizontal="center" vertical="center"/>
    </xf>
    <xf numFmtId="189" fontId="12" fillId="9" borderId="6" xfId="2" applyNumberFormat="1" applyFont="1" applyFill="1" applyBorder="1" applyAlignment="1" applyProtection="1">
      <alignment horizontal="center" vertical="center"/>
    </xf>
    <xf numFmtId="189" fontId="12" fillId="9" borderId="7" xfId="2" applyNumberFormat="1" applyFont="1" applyFill="1" applyBorder="1" applyAlignment="1" applyProtection="1">
      <alignment horizontal="center" vertical="center"/>
    </xf>
    <xf numFmtId="0" fontId="20" fillId="9" borderId="5" xfId="0" applyFont="1" applyFill="1" applyBorder="1" applyAlignment="1">
      <alignment horizontal="center" vertical="center"/>
    </xf>
    <xf numFmtId="0" fontId="20" fillId="9" borderId="12" xfId="0" applyFont="1" applyFill="1" applyBorder="1" applyAlignment="1">
      <alignment horizontal="center" vertical="center"/>
    </xf>
    <xf numFmtId="0" fontId="0" fillId="11" borderId="37" xfId="0" applyFill="1" applyBorder="1" applyAlignment="1">
      <alignment horizontal="center" vertical="center"/>
    </xf>
    <xf numFmtId="0" fontId="0" fillId="11" borderId="40" xfId="0" applyFill="1" applyBorder="1" applyAlignment="1">
      <alignment horizontal="center" vertical="center"/>
    </xf>
    <xf numFmtId="0" fontId="0" fillId="11" borderId="41" xfId="0" applyFill="1" applyBorder="1" applyAlignment="1">
      <alignment horizontal="center" vertical="center"/>
    </xf>
    <xf numFmtId="0" fontId="0" fillId="11" borderId="39" xfId="0" applyFill="1" applyBorder="1" applyAlignment="1">
      <alignment horizontal="center" vertical="center" wrapText="1"/>
    </xf>
    <xf numFmtId="0" fontId="0" fillId="11" borderId="26" xfId="0" applyFill="1" applyBorder="1" applyAlignment="1">
      <alignment horizontal="center" vertical="center" wrapText="1"/>
    </xf>
    <xf numFmtId="0" fontId="0" fillId="11" borderId="35" xfId="0" applyFill="1" applyBorder="1" applyAlignment="1">
      <alignment horizontal="center" vertical="center" wrapText="1"/>
    </xf>
    <xf numFmtId="0" fontId="0" fillId="11" borderId="44" xfId="0" applyFill="1" applyBorder="1" applyAlignment="1">
      <alignment horizontal="justify" vertical="center"/>
    </xf>
    <xf numFmtId="0" fontId="20" fillId="9" borderId="6" xfId="0" applyFont="1" applyFill="1" applyBorder="1" applyAlignment="1">
      <alignment horizontal="center" vertical="center"/>
    </xf>
    <xf numFmtId="0" fontId="0" fillId="9" borderId="7" xfId="0" applyFill="1" applyBorder="1" applyAlignment="1">
      <alignment horizontal="center" vertical="center" wrapText="1"/>
    </xf>
    <xf numFmtId="0" fontId="0" fillId="11" borderId="27" xfId="0" applyFill="1" applyBorder="1" applyAlignment="1">
      <alignment horizontal="justify" vertical="center"/>
    </xf>
    <xf numFmtId="0" fontId="0" fillId="11" borderId="28" xfId="0" applyFill="1" applyBorder="1" applyAlignment="1">
      <alignment horizontal="justify" vertical="center"/>
    </xf>
    <xf numFmtId="0" fontId="12" fillId="0" borderId="0" xfId="0" applyFont="1" applyAlignment="1">
      <alignment horizontal="center" vertical="center"/>
    </xf>
    <xf numFmtId="0" fontId="12" fillId="11" borderId="37" xfId="0" applyFont="1" applyFill="1" applyBorder="1" applyAlignment="1">
      <alignment horizontal="right" vertical="center"/>
    </xf>
    <xf numFmtId="0" fontId="12" fillId="11" borderId="41" xfId="0" applyFont="1" applyFill="1" applyBorder="1" applyAlignment="1">
      <alignment horizontal="right" vertical="center"/>
    </xf>
    <xf numFmtId="0" fontId="12" fillId="11" borderId="39" xfId="0" applyFont="1" applyFill="1" applyBorder="1" applyAlignment="1">
      <alignment horizontal="left" vertical="center" wrapText="1"/>
    </xf>
    <xf numFmtId="0" fontId="12" fillId="11" borderId="35" xfId="0" applyFont="1" applyFill="1" applyBorder="1" applyAlignment="1">
      <alignment horizontal="left" vertical="center" wrapText="1"/>
    </xf>
    <xf numFmtId="0" fontId="50" fillId="9" borderId="4" xfId="0" applyFont="1" applyFill="1" applyBorder="1" applyAlignment="1">
      <alignment horizontal="center" vertical="center"/>
    </xf>
    <xf numFmtId="0" fontId="12" fillId="9" borderId="5" xfId="0" applyFont="1" applyFill="1" applyBorder="1" applyAlignment="1">
      <alignment horizontal="center" vertical="center"/>
    </xf>
    <xf numFmtId="0" fontId="12" fillId="9" borderId="12" xfId="0" applyFont="1" applyFill="1" applyBorder="1" applyAlignment="1">
      <alignment horizontal="center" vertical="center"/>
    </xf>
    <xf numFmtId="189" fontId="12" fillId="9" borderId="30" xfId="2" applyNumberFormat="1" applyFont="1" applyFill="1" applyBorder="1" applyAlignment="1" applyProtection="1">
      <alignment horizontal="center" vertical="center"/>
    </xf>
    <xf numFmtId="0" fontId="12" fillId="11" borderId="37" xfId="0" applyFont="1" applyFill="1" applyBorder="1" applyAlignment="1">
      <alignment horizontal="center" vertical="center"/>
    </xf>
    <xf numFmtId="0" fontId="12" fillId="11" borderId="40" xfId="0" applyFont="1" applyFill="1" applyBorder="1" applyAlignment="1">
      <alignment horizontal="center" vertical="center"/>
    </xf>
    <xf numFmtId="0" fontId="12" fillId="11" borderId="41" xfId="0" applyFont="1" applyFill="1" applyBorder="1" applyAlignment="1">
      <alignment horizontal="center" vertical="center"/>
    </xf>
    <xf numFmtId="0" fontId="12" fillId="11" borderId="39" xfId="0" applyFont="1" applyFill="1" applyBorder="1" applyAlignment="1">
      <alignment horizontal="center" vertical="center" wrapText="1"/>
    </xf>
    <xf numFmtId="0" fontId="12" fillId="11" borderId="26" xfId="0" applyFont="1" applyFill="1" applyBorder="1" applyAlignment="1">
      <alignment horizontal="center" vertical="center" wrapText="1"/>
    </xf>
    <xf numFmtId="0" fontId="12" fillId="11" borderId="35" xfId="0" applyFont="1" applyFill="1" applyBorder="1" applyAlignment="1">
      <alignment horizontal="center" vertical="center" wrapText="1"/>
    </xf>
    <xf numFmtId="0" fontId="12" fillId="11" borderId="4" xfId="0" applyFont="1" applyFill="1" applyBorder="1" applyAlignment="1">
      <alignment horizontal="center" vertical="center"/>
    </xf>
    <xf numFmtId="0" fontId="12" fillId="11" borderId="4" xfId="0" applyFont="1" applyFill="1" applyBorder="1" applyAlignment="1">
      <alignment horizontal="center" vertical="center" wrapText="1"/>
    </xf>
    <xf numFmtId="0" fontId="12" fillId="11" borderId="11" xfId="0" applyFont="1" applyFill="1" applyBorder="1" applyAlignment="1">
      <alignment horizontal="center" vertical="center" wrapText="1"/>
    </xf>
    <xf numFmtId="0" fontId="12" fillId="11" borderId="18" xfId="0" applyFont="1" applyFill="1" applyBorder="1" applyAlignment="1">
      <alignment horizontal="center" vertical="center" wrapText="1"/>
    </xf>
    <xf numFmtId="0" fontId="50" fillId="9" borderId="5" xfId="0" applyFont="1" applyFill="1" applyBorder="1" applyAlignment="1">
      <alignment horizontal="center"/>
    </xf>
    <xf numFmtId="0" fontId="50" fillId="9" borderId="12" xfId="0" applyFont="1" applyFill="1" applyBorder="1" applyAlignment="1">
      <alignment horizontal="center"/>
    </xf>
    <xf numFmtId="0" fontId="52" fillId="9" borderId="4" xfId="0" applyFont="1" applyFill="1" applyBorder="1" applyAlignment="1">
      <alignment horizontal="center" vertical="center"/>
    </xf>
    <xf numFmtId="0" fontId="12" fillId="11" borderId="5" xfId="0" applyFont="1" applyFill="1" applyBorder="1" applyAlignment="1">
      <alignment horizontal="center" vertical="center" wrapText="1"/>
    </xf>
    <xf numFmtId="0" fontId="20" fillId="9" borderId="4" xfId="0" applyFont="1" applyFill="1" applyBorder="1" applyAlignment="1">
      <alignment horizontal="center"/>
    </xf>
    <xf numFmtId="0" fontId="12" fillId="11" borderId="4" xfId="0" applyFont="1" applyFill="1" applyBorder="1" applyAlignment="1">
      <alignment horizontal="left" vertical="center" wrapText="1"/>
    </xf>
    <xf numFmtId="0" fontId="12" fillId="11" borderId="37" xfId="0" applyFont="1" applyFill="1" applyBorder="1" applyAlignment="1">
      <alignment horizontal="left" vertical="center" wrapText="1"/>
    </xf>
    <xf numFmtId="0" fontId="12" fillId="11" borderId="40" xfId="0" applyFont="1" applyFill="1" applyBorder="1" applyAlignment="1">
      <alignment horizontal="left" vertical="center" wrapText="1"/>
    </xf>
    <xf numFmtId="0" fontId="12" fillId="11" borderId="41" xfId="0" applyFont="1" applyFill="1" applyBorder="1" applyAlignment="1">
      <alignment horizontal="left" vertical="center" wrapText="1"/>
    </xf>
    <xf numFmtId="0" fontId="12" fillId="9" borderId="36" xfId="0" applyFont="1" applyFill="1" applyBorder="1" applyAlignment="1">
      <alignment horizontal="center" vertical="center" wrapText="1"/>
    </xf>
    <xf numFmtId="0" fontId="20" fillId="9" borderId="4" xfId="0" applyFont="1" applyFill="1" applyBorder="1" applyAlignment="1">
      <alignment horizontal="left" vertical="center"/>
    </xf>
    <xf numFmtId="4" fontId="22" fillId="33" borderId="0" xfId="0" applyNumberFormat="1" applyFont="1" applyFill="1" applyAlignment="1" applyProtection="1">
      <alignment horizontal="center" vertical="center"/>
    </xf>
  </cellXfs>
  <cellStyles count="29">
    <cellStyle name="Accent 1 5" xfId="4" xr:uid="{00000000-0005-0000-0000-000000000000}"/>
    <cellStyle name="Accent 2 6" xfId="5" xr:uid="{00000000-0005-0000-0000-000001000000}"/>
    <cellStyle name="Accent 3 7" xfId="6" xr:uid="{00000000-0005-0000-0000-000002000000}"/>
    <cellStyle name="Accent 4" xfId="7" xr:uid="{00000000-0005-0000-0000-000003000000}"/>
    <cellStyle name="Bad 8" xfId="8" xr:uid="{00000000-0005-0000-0000-000004000000}"/>
    <cellStyle name="Error 9" xfId="9" xr:uid="{00000000-0005-0000-0000-000005000000}"/>
    <cellStyle name="Excel Built-in Comma [0] 1" xfId="24" xr:uid="{00000000-0005-0000-0000-000006000000}"/>
    <cellStyle name="Footnote 10" xfId="10" xr:uid="{00000000-0005-0000-0000-000007000000}"/>
    <cellStyle name="Good 11" xfId="11" xr:uid="{00000000-0005-0000-0000-000008000000}"/>
    <cellStyle name="Heading 1 13" xfId="12" xr:uid="{00000000-0005-0000-0000-000009000000}"/>
    <cellStyle name="Heading 12" xfId="13" xr:uid="{00000000-0005-0000-0000-00000A000000}"/>
    <cellStyle name="Heading 2 14" xfId="14" xr:uid="{00000000-0005-0000-0000-00000B000000}"/>
    <cellStyle name="Hipervínculo" xfId="25" builtinId="8"/>
    <cellStyle name="Hyperlink 15" xfId="15" xr:uid="{00000000-0005-0000-0000-00000D000000}"/>
    <cellStyle name="Millares" xfId="1" builtinId="3"/>
    <cellStyle name="Millares [0]" xfId="27" builtinId="6"/>
    <cellStyle name="Moneda" xfId="2" builtinId="4"/>
    <cellStyle name="Moneda [0]" xfId="26" builtinId="7"/>
    <cellStyle name="Neutral 16" xfId="16" xr:uid="{00000000-0005-0000-0000-000010000000}"/>
    <cellStyle name="Normal" xfId="0" builtinId="0"/>
    <cellStyle name="Normal 2" xfId="28" xr:uid="{E146CF8D-0541-4625-9272-0313E801B8A3}"/>
    <cellStyle name="Normal 3" xfId="17" xr:uid="{00000000-0005-0000-0000-000012000000}"/>
    <cellStyle name="Normal 4" xfId="18" xr:uid="{00000000-0005-0000-0000-000013000000}"/>
    <cellStyle name="Note 17" xfId="19" xr:uid="{00000000-0005-0000-0000-000014000000}"/>
    <cellStyle name="Porcentaje" xfId="3" builtinId="5"/>
    <cellStyle name="Porcentual 2 3" xfId="20" xr:uid="{00000000-0005-0000-0000-000016000000}"/>
    <cellStyle name="Status 18" xfId="21" xr:uid="{00000000-0005-0000-0000-000017000000}"/>
    <cellStyle name="Text 19" xfId="22" xr:uid="{00000000-0005-0000-0000-000018000000}"/>
    <cellStyle name="Warning 20" xfId="23" xr:uid="{00000000-0005-0000-0000-000019000000}"/>
  </cellStyles>
  <dxfs count="38">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numFmt numFmtId="0" formatCode="General"/>
    </dxf>
    <dxf>
      <numFmt numFmtId="196" formatCode="0.0"/>
    </dxf>
    <dxf>
      <numFmt numFmtId="0" formatCode="General"/>
    </dxf>
    <dxf>
      <numFmt numFmtId="196" formatCode="0.0"/>
    </dxf>
    <dxf>
      <numFmt numFmtId="22" formatCode="mmm\-yy"/>
    </dxf>
    <dxf>
      <alignment horizontal="general" vertical="bottom" textRotation="0" wrapText="1" indent="0" justifyLastLine="0" shrinkToFit="0" readingOrder="0"/>
    </dxf>
    <dxf>
      <font>
        <b val="0"/>
        <i val="0"/>
        <strike val="0"/>
        <condense val="0"/>
        <extend val="0"/>
        <outline val="0"/>
        <shadow val="0"/>
        <u val="none"/>
        <vertAlign val="baseline"/>
        <sz val="10"/>
        <color auto="1"/>
        <name val="Arial"/>
        <family val="2"/>
        <charset val="1"/>
        <scheme val="none"/>
      </font>
    </dxf>
    <dxf>
      <fill>
        <patternFill patternType="none">
          <fgColor indexed="64"/>
          <bgColor auto="1"/>
        </patternFill>
      </fill>
    </dxf>
    <dxf>
      <numFmt numFmtId="19" formatCode="d/mm/yyyy"/>
      <fill>
        <patternFill patternType="none">
          <fgColor indexed="64"/>
          <bgColor auto="1"/>
        </patternFill>
      </fill>
      <alignment horizontal="center" vertical="center" textRotation="0" wrapText="1" indent="0" justifyLastLine="0" shrinkToFit="0" readingOrder="0"/>
    </dxf>
    <dxf>
      <numFmt numFmtId="200" formatCode="d/mm/yy"/>
    </dxf>
  </dxfs>
  <tableStyles count="0" defaultTableStyle="TableStyleMedium2" defaultPivotStyle="PivotStyleLight16"/>
  <colors>
    <indexedColors>
      <rgbColor rgb="FF000000"/>
      <rgbColor rgb="FFFFFFFF"/>
      <rgbColor rgb="FFFF0000"/>
      <rgbColor rgb="FF00FF00"/>
      <rgbColor rgb="FF0000EE"/>
      <rgbColor rgb="FFFFFF00"/>
      <rgbColor rgb="FFFF00FF"/>
      <rgbColor rgb="FF00FFFF"/>
      <rgbColor rgb="FFCC0000"/>
      <rgbColor rgb="FF006600"/>
      <rgbColor rgb="FF000080"/>
      <rgbColor rgb="FF996600"/>
      <rgbColor rgb="FF800080"/>
      <rgbColor rgb="FF008080"/>
      <rgbColor rgb="FFBFBFBF"/>
      <rgbColor rgb="FF808080"/>
      <rgbColor rgb="FF9999FF"/>
      <rgbColor rgb="FF993366"/>
      <rgbColor rgb="FFFFFFCC"/>
      <rgbColor rgb="FFDEEBF7"/>
      <rgbColor rgb="FF660066"/>
      <rgbColor rgb="FFFF8080"/>
      <rgbColor rgb="FF0066CC"/>
      <rgbColor rgb="FFD9D9D9"/>
      <rgbColor rgb="FF000080"/>
      <rgbColor rgb="FFFF00FF"/>
      <rgbColor rgb="FFF2F2F2"/>
      <rgbColor rgb="FF00FFFF"/>
      <rgbColor rgb="FF800080"/>
      <rgbColor rgb="FF800000"/>
      <rgbColor rgb="FF008080"/>
      <rgbColor rgb="FF0000FF"/>
      <rgbColor rgb="FF00CCFF"/>
      <rgbColor rgb="FFEBF1DE"/>
      <rgbColor rgb="FFCCFFCC"/>
      <rgbColor rgb="FFFBE5D6"/>
      <rgbColor rgb="FFC5E0B4"/>
      <rgbColor rgb="FFF4B183"/>
      <rgbColor rgb="FFDDDDDD"/>
      <rgbColor rgb="FFFFCCCC"/>
      <rgbColor rgb="FF3366FF"/>
      <rgbColor rgb="FF33CCCC"/>
      <rgbColor rgb="FF99CC00"/>
      <rgbColor rgb="FFFFCC00"/>
      <rgbColor rgb="FFFF8C00"/>
      <rgbColor rgb="FFC55A11"/>
      <rgbColor rgb="FF2F5597"/>
      <rgbColor rgb="FF969696"/>
      <rgbColor rgb="FF203864"/>
      <rgbColor rgb="FF548235"/>
      <rgbColor rgb="FF003300"/>
      <rgbColor rgb="FF333300"/>
      <rgbColor rgb="FFCE181E"/>
      <rgbColor rgb="FF993366"/>
      <rgbColor rgb="FF1F4E7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alcChain" Target="calcChain.xml"/><Relationship Id="rId50"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microsoft.com/office/2022/11/relationships/FeaturePropertyBag" Target="featurePropertyBag/featurePropertyBag.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81314</xdr:rowOff>
    </xdr:from>
    <xdr:to>
      <xdr:col>2</xdr:col>
      <xdr:colOff>4302</xdr:colOff>
      <xdr:row>4</xdr:row>
      <xdr:rowOff>66431</xdr:rowOff>
    </xdr:to>
    <xdr:pic>
      <xdr:nvPicPr>
        <xdr:cNvPr id="2"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81314"/>
          <a:ext cx="1557854" cy="649425"/>
        </a:xfrm>
        <a:prstGeom prst="rect">
          <a:avLst/>
        </a:prstGeom>
        <a:ln>
          <a:noFill/>
        </a:ln>
      </xdr:spPr>
    </xdr:pic>
    <xdr:clientData/>
  </xdr:twoCellAnchor>
  <xdr:twoCellAnchor editAs="oneCell">
    <xdr:from>
      <xdr:col>0</xdr:col>
      <xdr:colOff>495300</xdr:colOff>
      <xdr:row>5</xdr:row>
      <xdr:rowOff>0</xdr:rowOff>
    </xdr:from>
    <xdr:to>
      <xdr:col>9</xdr:col>
      <xdr:colOff>660400</xdr:colOff>
      <xdr:row>9</xdr:row>
      <xdr:rowOff>96716</xdr:rowOff>
    </xdr:to>
    <xdr:sp macro="" textlink="">
      <xdr:nvSpPr>
        <xdr:cNvPr id="1025" name="Label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520700</xdr:colOff>
      <xdr:row>7</xdr:row>
      <xdr:rowOff>139700</xdr:rowOff>
    </xdr:from>
    <xdr:to>
      <xdr:col>10</xdr:col>
      <xdr:colOff>12700</xdr:colOff>
      <xdr:row>10</xdr:row>
      <xdr:rowOff>58616</xdr:rowOff>
    </xdr:to>
    <xdr:sp macro="" textlink="">
      <xdr:nvSpPr>
        <xdr:cNvPr id="1026" name="Label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4</xdr:col>
      <xdr:colOff>63500</xdr:colOff>
      <xdr:row>15</xdr:row>
      <xdr:rowOff>139700</xdr:rowOff>
    </xdr:from>
    <xdr:to>
      <xdr:col>8</xdr:col>
      <xdr:colOff>215900</xdr:colOff>
      <xdr:row>17</xdr:row>
      <xdr:rowOff>152400</xdr:rowOff>
    </xdr:to>
    <xdr:sp macro="" textlink="">
      <xdr:nvSpPr>
        <xdr:cNvPr id="1027" name="Label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8</xdr:col>
      <xdr:colOff>419100</xdr:colOff>
      <xdr:row>2</xdr:row>
      <xdr:rowOff>139700</xdr:rowOff>
    </xdr:from>
    <xdr:to>
      <xdr:col>12</xdr:col>
      <xdr:colOff>495300</xdr:colOff>
      <xdr:row>4</xdr:row>
      <xdr:rowOff>139700</xdr:rowOff>
    </xdr:to>
    <xdr:sp macro="" textlink="">
      <xdr:nvSpPr>
        <xdr:cNvPr id="1028" name="Label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368300</xdr:colOff>
      <xdr:row>8</xdr:row>
      <xdr:rowOff>12700</xdr:rowOff>
    </xdr:from>
    <xdr:to>
      <xdr:col>14</xdr:col>
      <xdr:colOff>457200</xdr:colOff>
      <xdr:row>10</xdr:row>
      <xdr:rowOff>101600</xdr:rowOff>
    </xdr:to>
    <xdr:sp macro="" textlink="">
      <xdr:nvSpPr>
        <xdr:cNvPr id="1029" name="btnParametros" hidden="1">
          <a:extLst>
            <a:ext uri="{63B3BB69-23CF-44E3-9099-C40C66FF867C}">
              <a14:compatExt xmlns:a14="http://schemas.microsoft.com/office/drawing/2010/main"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368300</xdr:colOff>
      <xdr:row>5</xdr:row>
      <xdr:rowOff>0</xdr:rowOff>
    </xdr:from>
    <xdr:to>
      <xdr:col>14</xdr:col>
      <xdr:colOff>457200</xdr:colOff>
      <xdr:row>7</xdr:row>
      <xdr:rowOff>88900</xdr:rowOff>
    </xdr:to>
    <xdr:sp macro="" textlink="">
      <xdr:nvSpPr>
        <xdr:cNvPr id="1030" name="btnInicio" hidden="1">
          <a:extLst>
            <a:ext uri="{63B3BB69-23CF-44E3-9099-C40C66FF867C}">
              <a14:compatExt xmlns:a14="http://schemas.microsoft.com/office/drawing/2010/main"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10</xdr:col>
      <xdr:colOff>355600</xdr:colOff>
      <xdr:row>5</xdr:row>
      <xdr:rowOff>0</xdr:rowOff>
    </xdr:from>
    <xdr:to>
      <xdr:col>14</xdr:col>
      <xdr:colOff>444500</xdr:colOff>
      <xdr:row>7</xdr:row>
      <xdr:rowOff>88900</xdr:rowOff>
    </xdr:to>
    <xdr:sp macro="" textlink="">
      <xdr:nvSpPr>
        <xdr:cNvPr id="1031" name="btnProceso" hidden="1">
          <a:extLst>
            <a:ext uri="{63B3BB69-23CF-44E3-9099-C40C66FF867C}">
              <a14:compatExt xmlns:a14="http://schemas.microsoft.com/office/drawing/2010/main"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36147</xdr:colOff>
      <xdr:row>5</xdr:row>
      <xdr:rowOff>74247</xdr:rowOff>
    </xdr:from>
    <xdr:to>
      <xdr:col>11</xdr:col>
      <xdr:colOff>201247</xdr:colOff>
      <xdr:row>10</xdr:row>
      <xdr:rowOff>9771</xdr:rowOff>
    </xdr:to>
    <xdr:pic>
      <xdr:nvPicPr>
        <xdr:cNvPr id="3" name="Label1">
          <a:extLst>
            <a:ext uri="{FF2B5EF4-FFF2-40B4-BE49-F238E27FC236}">
              <a16:creationId xmlns:a16="http://schemas.microsoft.com/office/drawing/2014/main" id="{00000000-0008-0000-0000-00000300000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38301" y="904632"/>
          <a:ext cx="7374792" cy="765908"/>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7</xdr:col>
      <xdr:colOff>67409</xdr:colOff>
      <xdr:row>3</xdr:row>
      <xdr:rowOff>71316</xdr:rowOff>
    </xdr:from>
    <xdr:to>
      <xdr:col>11</xdr:col>
      <xdr:colOff>143608</xdr:colOff>
      <xdr:row>5</xdr:row>
      <xdr:rowOff>71316</xdr:rowOff>
    </xdr:to>
    <xdr:pic>
      <xdr:nvPicPr>
        <xdr:cNvPr id="4" name="Label4">
          <a:extLst>
            <a:ext uri="{FF2B5EF4-FFF2-40B4-BE49-F238E27FC236}">
              <a16:creationId xmlns:a16="http://schemas.microsoft.com/office/drawing/2014/main" id="{00000000-0008-0000-0000-000004000000}"/>
            </a:ext>
          </a:extLst>
        </xdr:cNvPr>
        <xdr:cNvPicPr preferRelativeResize="0">
          <a:picLocks noChangeArrowheads="1" noChangeShapeType="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74947" y="569547"/>
          <a:ext cx="3280507" cy="332154"/>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4</xdr:col>
      <xdr:colOff>2324100</xdr:colOff>
      <xdr:row>40</xdr:row>
      <xdr:rowOff>76200</xdr:rowOff>
    </xdr:from>
    <xdr:ext cx="1130300" cy="306754"/>
    <xdr:sp macro="" textlink="">
      <xdr:nvSpPr>
        <xdr:cNvPr id="2" name="btnLinkks" hidden="1">
          <a:extLst>
            <a:ext uri="{63B3BB69-23CF-44E3-9099-C40C66FF867C}">
              <a14:compatExt xmlns:a14="http://schemas.microsoft.com/office/drawing/2010/main" spid="_x0000_s3082"/>
            </a:ext>
            <a:ext uri="{FF2B5EF4-FFF2-40B4-BE49-F238E27FC236}">
              <a16:creationId xmlns:a16="http://schemas.microsoft.com/office/drawing/2014/main" id="{00000000-0008-0000-0100-000002000000}"/>
            </a:ext>
          </a:extLst>
        </xdr:cNvPr>
        <xdr:cNvSpPr/>
      </xdr:nvSpPr>
      <xdr:spPr bwMode="auto">
        <a:xfrm>
          <a:off x="3149600" y="3175000"/>
          <a:ext cx="1130300" cy="30675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2324100</xdr:colOff>
      <xdr:row>16</xdr:row>
      <xdr:rowOff>76200</xdr:rowOff>
    </xdr:from>
    <xdr:ext cx="1130300" cy="306754"/>
    <xdr:sp macro="" textlink="">
      <xdr:nvSpPr>
        <xdr:cNvPr id="3" name="btnLinkks" hidden="1">
          <a:extLst>
            <a:ext uri="{63B3BB69-23CF-44E3-9099-C40C66FF867C}">
              <a14:compatExt xmlns:a14="http://schemas.microsoft.com/office/drawing/2010/main" spid="_x0000_s3082"/>
            </a:ext>
            <a:ext uri="{FF2B5EF4-FFF2-40B4-BE49-F238E27FC236}">
              <a16:creationId xmlns:a16="http://schemas.microsoft.com/office/drawing/2014/main" id="{00000000-0008-0000-0300-000003000000}"/>
            </a:ext>
          </a:extLst>
        </xdr:cNvPr>
        <xdr:cNvSpPr/>
      </xdr:nvSpPr>
      <xdr:spPr bwMode="auto">
        <a:xfrm>
          <a:off x="10858500" y="2400300"/>
          <a:ext cx="1130300" cy="306754"/>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DAFBEF0-C222-3C4E-9BB9-F2A6583FBA41}" name="TRM_dia" displayName="TRM_dia" ref="AF3:AH5874" totalsRowShown="0">
  <autoFilter ref="AF3:AH5874" xr:uid="{2DAFBEF0-C222-3C4E-9BB9-F2A6583FBA41}"/>
  <tableColumns count="3">
    <tableColumn id="1" xr3:uid="{5F0845DE-37C0-A541-9873-3BDB286CA459}" name="MES" dataDxfId="37">
      <calculatedColumnFormula>+DATE(YEAR(AG4),MONTH(AG4),1)</calculatedColumnFormula>
    </tableColumn>
    <tableColumn id="2" xr3:uid="{8E64AE64-4EBC-6E45-8BD9-A15AFF28F014}" name="Fecha" dataDxfId="36"/>
    <tableColumn id="3" xr3:uid="{0296C280-EA44-EC4F-B1F5-7BCD9C69D5A7}" name="TRM" dataDxfId="35"/>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4039FA-248C-2948-9D22-39CE6C572EC9}" name="Tabla2" displayName="Tabla2" ref="AC3:AD19" totalsRowShown="0">
  <autoFilter ref="AC3:AD19" xr:uid="{324039FA-248C-2948-9D22-39CE6C572EC9}"/>
  <tableColumns count="2">
    <tableColumn id="1" xr3:uid="{3168F80F-874B-CA41-B9FF-790B1C174492}" name="año"/>
    <tableColumn id="2" xr3:uid="{7845CF36-0A6F-5249-8FC0-DA1D0B165D4A}" name="Salarios" dataDxfId="34" dataCellStyle="Moneda [0]"/>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4451E79-0EB6-B143-8D29-DB7BD4AD9A14}" name="Tabla3" displayName="Tabla3" ref="H3:T195" totalsRowShown="0" headerRowDxfId="33">
  <autoFilter ref="H3:T195" xr:uid="{D4451E79-0EB6-B143-8D29-DB7BD4AD9A14}"/>
  <tableColumns count="13">
    <tableColumn id="1" xr3:uid="{E0E48458-E658-B24B-8BBD-34094A2CD913}" name="Fecha" dataDxfId="32"/>
    <tableColumn id="2" xr3:uid="{91E9119C-6B16-5748-99E3-DABE7449620D}" name="TRM año de cálculo $/USD" dataDxfId="31">
      <calculatedColumnFormula>+AVERAGEIF(TRM_dia[MES],Tabla3[[#This Row],[Fecha]],TRM_dia[TRM])</calculatedColumnFormula>
    </tableColumn>
    <tableColumn id="3" xr3:uid="{60F8C09F-E337-AF40-B3B6-021015EEEB7B}" name="PPI USA ACERO" dataDxfId="30">
      <calculatedColumnFormula>+INDEX(Tabla2[Salarios],MATCH(YEAR(Tabla3[[#This Row],[Fecha]]),Tabla2[año],0))</calculatedColumnFormula>
    </tableColumn>
    <tableColumn id="4" xr3:uid="{5980ECA1-A77F-3646-A653-EB083592C307}" name="IPC"/>
    <tableColumn id="5" xr3:uid="{68BF0544-A195-6140-9ABF-06EA7AF78D8B}" name="PPI USA - BOMBAS INDUSTRIALES"/>
    <tableColumn id="6" xr3:uid="{F2253D16-DC03-1149-8D13-3EA3ED20DF22}" name="PPI USA – FILTROS"/>
    <tableColumn id="7" xr3:uid="{E3093938-8B77-BA4B-8A4C-251E89044119}" name="PPI USA – MEDIDORES, GASES Y LIQUIDOS"/>
    <tableColumn id="8" xr3:uid="{80A6CE11-9344-AC48-A86F-360568C422E5}" name="PPI USA – GENEADORES DE POTENCIA"/>
    <tableColumn id="9" xr3:uid="{9B96F57D-BC22-E343-9D2C-8A0AE9C5CFC1}" name="PPI USA – TRANSFORMADORES DISTRI. Y POTE."/>
    <tableColumn id="10" xr3:uid="{00609F74-792B-914C-8F07-F540D98BA4AA}" name="PPI USA – INSTR. DE CONTROL PROC. INDUSTR."/>
    <tableColumn id="11" xr3:uid="{B6CF00B8-EF52-2E4E-8230-C500CCB12378}" name="PPI USA – TABLEROS Y EQUIPOS DE CONTROL."/>
    <tableColumn id="12" xr3:uid="{51FA787F-ECB9-FC43-8438-D592B4D53BE2}" name="FACTOR  INCREMENTO MANO DE OBRA" dataDxfId="29">
      <calculatedColumnFormula>+INDEX(Tabla2[Salarios],MATCH(YEAR(Tabla3[[#This Row],[Fecha]]),Tabla2[año],0))/Tabla3[[#This Row],[TRM año de cálculo $/USD]]</calculatedColumnFormula>
    </tableColumn>
    <tableColumn id="13" xr3:uid="{220F0368-327E-DA45-B118-5B268AD986A7}" name="IPC_dólares" dataDxfId="28">
      <calculatedColumnFormula>+Tabla3[[#This Row],[IPC]]/Tabla3[[#This Row],[TRM año de cálculo $/USD]]</calculatedColumnFormula>
    </tableColumn>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data.bls.gov/cgi-bin/srgate" TargetMode="External"/><Relationship Id="rId7" Type="http://schemas.openxmlformats.org/officeDocument/2006/relationships/drawing" Target="../drawings/drawing3.xml"/><Relationship Id="rId2" Type="http://schemas.openxmlformats.org/officeDocument/2006/relationships/hyperlink" Target="https://www.banrep.gov.co/es/estadisticas/trm" TargetMode="External"/><Relationship Id="rId1" Type="http://schemas.openxmlformats.org/officeDocument/2006/relationships/hyperlink" Target="https://www.banrep.gov.co/es/estadisticas/indice-precios-consumidor-ipc" TargetMode="External"/><Relationship Id="rId6" Type="http://schemas.openxmlformats.org/officeDocument/2006/relationships/hyperlink" Target="https://data.bls.gov/cgi-bin/srgate" TargetMode="External"/><Relationship Id="rId5" Type="http://schemas.openxmlformats.org/officeDocument/2006/relationships/hyperlink" Target="http://www.banrep.gov.co/es/indice-salarios" TargetMode="External"/><Relationship Id="rId10" Type="http://schemas.openxmlformats.org/officeDocument/2006/relationships/table" Target="../tables/table3.xml"/><Relationship Id="rId4" Type="http://schemas.openxmlformats.org/officeDocument/2006/relationships/hyperlink" Target="https://data.bls.gov/cgi-bin/srgate" TargetMode="External"/><Relationship Id="rId9" Type="http://schemas.openxmlformats.org/officeDocument/2006/relationships/table" Target="../tables/table2.xm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1:J35"/>
  <sheetViews>
    <sheetView showGridLines="0" showRowColHeaders="0" tabSelected="1" zoomScale="115" zoomScaleNormal="115" workbookViewId="0">
      <selection activeCell="C33" sqref="C33"/>
    </sheetView>
  </sheetViews>
  <sheetFormatPr baseColWidth="10" defaultColWidth="9.140625" defaultRowHeight="12.75"/>
  <cols>
    <col min="1" max="1025" width="10.42578125" customWidth="1"/>
  </cols>
  <sheetData>
    <row r="11" spans="3:5" ht="18">
      <c r="C11" s="443" t="s">
        <v>0</v>
      </c>
    </row>
    <row r="12" spans="3:5">
      <c r="C12" s="689" t="s">
        <v>1231</v>
      </c>
      <c r="D12" s="689"/>
      <c r="E12" s="689"/>
    </row>
    <row r="13" spans="3:5">
      <c r="C13" t="s">
        <v>1</v>
      </c>
    </row>
    <row r="14" spans="3:5">
      <c r="C14" t="s">
        <v>1232</v>
      </c>
    </row>
    <row r="17" spans="3:10">
      <c r="C17" s="393"/>
    </row>
    <row r="18" spans="3:10">
      <c r="C18" s="626" t="s">
        <v>2</v>
      </c>
      <c r="D18" s="626"/>
      <c r="E18" s="626"/>
      <c r="F18" s="626"/>
      <c r="G18" s="626"/>
      <c r="H18" s="626"/>
      <c r="I18" s="626"/>
      <c r="J18" s="626"/>
    </row>
    <row r="19" spans="3:10">
      <c r="C19" s="626"/>
      <c r="D19" s="626" t="s">
        <v>3</v>
      </c>
      <c r="E19" s="626"/>
      <c r="F19" s="626"/>
      <c r="G19" s="626"/>
      <c r="H19" s="626"/>
      <c r="I19" s="626"/>
      <c r="J19" s="626"/>
    </row>
    <row r="20" spans="3:10">
      <c r="C20" s="626"/>
      <c r="D20" s="626" t="s">
        <v>4</v>
      </c>
      <c r="E20" s="626"/>
      <c r="F20" s="626"/>
      <c r="G20" s="626"/>
      <c r="H20" s="626"/>
      <c r="I20" s="626"/>
      <c r="J20" s="626"/>
    </row>
    <row r="21" spans="3:10">
      <c r="C21" s="626"/>
      <c r="D21" s="626" t="s">
        <v>5</v>
      </c>
      <c r="E21" s="626"/>
      <c r="F21" s="626"/>
      <c r="G21" s="626"/>
      <c r="H21" s="626"/>
      <c r="I21" s="626"/>
      <c r="J21" s="626"/>
    </row>
    <row r="22" spans="3:10">
      <c r="C22" s="626"/>
      <c r="D22" s="626" t="s">
        <v>6</v>
      </c>
      <c r="E22" s="626"/>
      <c r="F22" s="626"/>
      <c r="G22" s="626"/>
      <c r="H22" s="626"/>
      <c r="I22" s="626"/>
      <c r="J22" s="626"/>
    </row>
    <row r="23" spans="3:10">
      <c r="C23" s="626"/>
      <c r="E23" s="626"/>
      <c r="F23" s="626"/>
      <c r="G23" s="626"/>
      <c r="H23" s="626"/>
      <c r="I23" s="626"/>
      <c r="J23" s="626"/>
    </row>
    <row r="24" spans="3:10">
      <c r="D24" s="626" t="s">
        <v>7</v>
      </c>
    </row>
    <row r="25" spans="3:10">
      <c r="D25" s="626" t="s">
        <v>8</v>
      </c>
    </row>
    <row r="27" spans="3:10">
      <c r="D27" s="626" t="s">
        <v>9</v>
      </c>
    </row>
    <row r="35" spans="2:2" ht="15.75">
      <c r="B35" s="394"/>
    </row>
  </sheetData>
  <sheetProtection algorithmName="SHA-512" hashValue="7b6XPPKQE9GtjrW4KvRzr9hyKTozGIgdfcllgHpPoHuyOn9blBfamSf6jasp0JCXNAQb5bcZVyGGPLX71Y1ZMA==" saltValue="yWoANRkJRWcNijBNpItz/A==" spinCount="100000" sheet="1" selectLockedCells="1"/>
  <mergeCells count="1">
    <mergeCell ref="C12:E12"/>
  </mergeCells>
  <pageMargins left="0.7" right="0.7" top="0.75" bottom="0.75" header="0.51180555555555496" footer="0.51180555555555496"/>
  <pageSetup firstPageNumber="0"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tabColor theme="8" tint="-0.499984740745262"/>
  </sheetPr>
  <dimension ref="B1:O50"/>
  <sheetViews>
    <sheetView showGridLines="0" showRowColHeaders="0" zoomScaleNormal="100" workbookViewId="0">
      <selection activeCell="C33" sqref="C33:H33"/>
    </sheetView>
  </sheetViews>
  <sheetFormatPr baseColWidth="10" defaultColWidth="9.140625" defaultRowHeight="12.75"/>
  <cols>
    <col min="1" max="1" width="2.42578125" customWidth="1"/>
    <col min="2" max="2" width="5.42578125" customWidth="1"/>
    <col min="3" max="3" width="3.85546875" customWidth="1"/>
    <col min="4" max="4" width="13.140625" style="1" customWidth="1"/>
    <col min="5" max="5" width="15.7109375" style="1" customWidth="1"/>
    <col min="6" max="6" width="12.7109375" style="1" customWidth="1"/>
    <col min="7" max="7" width="15.140625" style="1" customWidth="1"/>
    <col min="8" max="8" width="13" customWidth="1"/>
    <col min="9" max="9" width="15.28515625" customWidth="1"/>
    <col min="10" max="10" width="3.42578125" customWidth="1"/>
    <col min="11" max="11" width="35.28515625" customWidth="1"/>
    <col min="12" max="12" width="4.7109375" customWidth="1"/>
    <col min="13" max="13" width="14.42578125" customWidth="1"/>
    <col min="14" max="14" width="1.85546875" customWidth="1"/>
    <col min="15" max="15" width="5.28515625" customWidth="1"/>
    <col min="16" max="1025" width="10.42578125" customWidth="1"/>
  </cols>
  <sheetData>
    <row r="1" spans="2:15" ht="15.75">
      <c r="B1" s="168"/>
      <c r="C1" s="168"/>
      <c r="D1" s="169"/>
      <c r="E1" s="169"/>
      <c r="F1" s="169"/>
      <c r="G1" s="169"/>
      <c r="H1" s="168"/>
      <c r="I1" s="168"/>
    </row>
    <row r="2" spans="2:15" ht="15.75">
      <c r="B2" s="168"/>
      <c r="C2" s="764" t="s">
        <v>911</v>
      </c>
      <c r="D2" s="764"/>
      <c r="E2" s="764"/>
      <c r="F2" s="764"/>
      <c r="G2" s="764"/>
      <c r="H2" s="179">
        <v>0.5</v>
      </c>
      <c r="I2" s="168"/>
    </row>
    <row r="3" spans="2:15" ht="10.5" customHeight="1">
      <c r="B3" s="168"/>
      <c r="I3" s="168"/>
    </row>
    <row r="4" spans="2:15" ht="15.75" customHeight="1">
      <c r="B4" s="765" t="s">
        <v>950</v>
      </c>
      <c r="C4" s="765"/>
      <c r="D4" s="765"/>
      <c r="E4" s="765"/>
      <c r="F4" s="765"/>
      <c r="G4" s="765"/>
      <c r="H4" s="765"/>
      <c r="I4" s="171"/>
      <c r="L4" s="180"/>
      <c r="M4" s="180"/>
    </row>
    <row r="5" spans="2:15" ht="14.45" customHeight="1">
      <c r="B5" s="765"/>
      <c r="C5" s="765"/>
      <c r="D5" s="765"/>
      <c r="E5" s="765"/>
      <c r="F5" s="765"/>
      <c r="G5" s="765"/>
      <c r="H5" s="765"/>
      <c r="I5" s="171"/>
      <c r="L5" s="180"/>
      <c r="M5" s="180"/>
    </row>
    <row r="6" spans="2:15" ht="11.45" customHeight="1">
      <c r="B6" s="171"/>
      <c r="C6" s="171"/>
      <c r="D6" s="171"/>
      <c r="E6" s="171"/>
      <c r="F6" s="171"/>
      <c r="G6" s="171"/>
      <c r="H6" s="171"/>
      <c r="I6" s="171"/>
      <c r="L6" s="180"/>
      <c r="M6" s="180"/>
    </row>
    <row r="7" spans="2:15" ht="24" customHeight="1">
      <c r="B7" s="771" t="s">
        <v>951</v>
      </c>
      <c r="C7" s="771"/>
      <c r="D7" s="771"/>
      <c r="E7" s="771"/>
      <c r="F7" s="771"/>
      <c r="G7" s="771"/>
      <c r="H7" s="771"/>
      <c r="I7" s="171"/>
      <c r="L7" s="180"/>
      <c r="M7" s="180"/>
      <c r="N7" s="181"/>
      <c r="O7" s="182"/>
    </row>
    <row r="8" spans="2:15" ht="15" customHeight="1">
      <c r="B8" s="171"/>
      <c r="C8" s="171"/>
      <c r="D8" s="171"/>
      <c r="E8" s="171"/>
      <c r="F8" s="171"/>
      <c r="G8" s="171"/>
      <c r="H8" s="171"/>
      <c r="I8" s="171"/>
    </row>
    <row r="9" spans="2:15" ht="15.75" customHeight="1">
      <c r="B9" s="755">
        <v>0.1</v>
      </c>
      <c r="C9" s="756" t="s">
        <v>914</v>
      </c>
      <c r="D9" s="756"/>
      <c r="E9" s="756"/>
      <c r="F9" s="756"/>
      <c r="G9" s="756"/>
      <c r="H9" s="756"/>
      <c r="I9" s="168"/>
      <c r="M9" s="174"/>
    </row>
    <row r="10" spans="2:15" ht="36.950000000000003" customHeight="1">
      <c r="B10" s="755"/>
      <c r="C10" s="757" t="s">
        <v>915</v>
      </c>
      <c r="D10" s="757"/>
      <c r="E10" s="757"/>
      <c r="F10" s="757"/>
      <c r="G10" s="757"/>
      <c r="H10" s="757"/>
      <c r="I10" s="168"/>
      <c r="M10" s="174"/>
      <c r="N10" s="183"/>
    </row>
    <row r="11" spans="2:15" ht="16.5">
      <c r="B11" s="755"/>
      <c r="C11" s="172">
        <v>1</v>
      </c>
      <c r="D11" s="760" t="s">
        <v>916</v>
      </c>
      <c r="E11" s="760"/>
      <c r="F11" s="760"/>
      <c r="G11" s="760"/>
      <c r="H11" s="769">
        <v>1</v>
      </c>
      <c r="I11" s="767">
        <f>IFERROR(VLOOKUP(H11,FACTORES!$M$4:$N$8,2,0)*B9*$H$2,"Introducir o revisar Valor en Columna H (Valor maximo permitido = 5)")</f>
        <v>5.000000000000001E-3</v>
      </c>
      <c r="M11" s="174"/>
    </row>
    <row r="12" spans="2:15" ht="16.5" customHeight="1">
      <c r="B12" s="755"/>
      <c r="C12" s="172">
        <v>2</v>
      </c>
      <c r="D12" s="762" t="s">
        <v>917</v>
      </c>
      <c r="E12" s="762"/>
      <c r="F12" s="762"/>
      <c r="G12" s="762"/>
      <c r="H12" s="769"/>
      <c r="I12" s="767"/>
      <c r="M12" s="174"/>
    </row>
    <row r="13" spans="2:15" ht="16.5" customHeight="1">
      <c r="B13" s="755"/>
      <c r="C13" s="172">
        <v>3</v>
      </c>
      <c r="D13" s="762" t="s">
        <v>918</v>
      </c>
      <c r="E13" s="762"/>
      <c r="F13" s="762"/>
      <c r="G13" s="762"/>
      <c r="H13" s="769"/>
      <c r="I13" s="767"/>
      <c r="M13" s="174"/>
    </row>
    <row r="14" spans="2:15" ht="16.5" customHeight="1">
      <c r="B14" s="755"/>
      <c r="C14" s="172">
        <v>4</v>
      </c>
      <c r="D14" s="762" t="s">
        <v>919</v>
      </c>
      <c r="E14" s="762"/>
      <c r="F14" s="762"/>
      <c r="G14" s="762"/>
      <c r="H14" s="769"/>
      <c r="I14" s="767"/>
      <c r="M14" s="180"/>
    </row>
    <row r="15" spans="2:15" ht="16.5">
      <c r="B15" s="755"/>
      <c r="C15" s="172">
        <v>5</v>
      </c>
      <c r="D15" s="760" t="s">
        <v>920</v>
      </c>
      <c r="E15" s="760"/>
      <c r="F15" s="760"/>
      <c r="G15" s="760"/>
      <c r="H15" s="769"/>
      <c r="I15" s="767"/>
      <c r="M15" s="184"/>
    </row>
    <row r="16" spans="2:15" ht="9.9499999999999993" customHeight="1"/>
    <row r="17" spans="2:15" ht="15.75" customHeight="1">
      <c r="B17" s="755">
        <v>0.2</v>
      </c>
      <c r="C17" s="756" t="s">
        <v>921</v>
      </c>
      <c r="D17" s="756"/>
      <c r="E17" s="756"/>
      <c r="F17" s="756"/>
      <c r="G17" s="756"/>
      <c r="H17" s="756"/>
      <c r="I17" s="175"/>
      <c r="M17" s="184"/>
    </row>
    <row r="18" spans="2:15" ht="31.5" customHeight="1">
      <c r="B18" s="755"/>
      <c r="C18" s="757" t="s">
        <v>922</v>
      </c>
      <c r="D18" s="757"/>
      <c r="E18" s="757"/>
      <c r="F18" s="757"/>
      <c r="G18" s="757"/>
      <c r="H18" s="757"/>
      <c r="I18" s="175"/>
      <c r="O18" s="185"/>
    </row>
    <row r="19" spans="2:15" ht="16.5" customHeight="1">
      <c r="B19" s="755"/>
      <c r="C19" s="176">
        <v>1</v>
      </c>
      <c r="D19" s="760" t="s">
        <v>923</v>
      </c>
      <c r="E19" s="760"/>
      <c r="F19" s="760"/>
      <c r="G19" s="760"/>
      <c r="H19" s="769">
        <v>2</v>
      </c>
      <c r="I19" s="767">
        <f>IFERROR(VLOOKUP(H19,FACTORES!$M$4:$N$8,2,0)*B17*$H$2,"Introducir o revisar Valor en Columna H (Valor maximo permitido = 5)")</f>
        <v>2.5000000000000001E-2</v>
      </c>
    </row>
    <row r="20" spans="2:15" ht="14.45" customHeight="1">
      <c r="B20" s="755"/>
      <c r="C20" s="176">
        <v>2</v>
      </c>
      <c r="D20" s="760" t="s">
        <v>924</v>
      </c>
      <c r="E20" s="760"/>
      <c r="F20" s="760"/>
      <c r="G20" s="760"/>
      <c r="H20" s="769"/>
      <c r="I20" s="767"/>
    </row>
    <row r="21" spans="2:15" ht="16.5">
      <c r="B21" s="755"/>
      <c r="C21" s="176">
        <v>3</v>
      </c>
      <c r="D21" s="760" t="s">
        <v>925</v>
      </c>
      <c r="E21" s="760"/>
      <c r="F21" s="760"/>
      <c r="G21" s="760"/>
      <c r="H21" s="769"/>
      <c r="I21" s="767"/>
      <c r="M21" s="186"/>
    </row>
    <row r="22" spans="2:15" ht="15.6" customHeight="1">
      <c r="B22" s="755"/>
      <c r="C22" s="176">
        <v>4</v>
      </c>
      <c r="D22" s="760" t="s">
        <v>926</v>
      </c>
      <c r="E22" s="760"/>
      <c r="F22" s="760"/>
      <c r="G22" s="760"/>
      <c r="H22" s="769"/>
      <c r="I22" s="767"/>
    </row>
    <row r="23" spans="2:15" ht="16.5" customHeight="1">
      <c r="B23" s="755"/>
      <c r="C23" s="176">
        <v>5</v>
      </c>
      <c r="D23" s="762" t="s">
        <v>927</v>
      </c>
      <c r="E23" s="762"/>
      <c r="F23" s="762"/>
      <c r="G23" s="762"/>
      <c r="H23" s="769"/>
      <c r="I23" s="767"/>
    </row>
    <row r="24" spans="2:15" ht="9.9499999999999993" customHeight="1"/>
    <row r="25" spans="2:15" ht="15.75" customHeight="1">
      <c r="B25" s="755">
        <v>0.2</v>
      </c>
      <c r="C25" s="756" t="s">
        <v>928</v>
      </c>
      <c r="D25" s="756"/>
      <c r="E25" s="756"/>
      <c r="F25" s="756"/>
      <c r="G25" s="756"/>
      <c r="H25" s="756"/>
      <c r="I25" s="175"/>
    </row>
    <row r="26" spans="2:15" ht="41.1" customHeight="1">
      <c r="B26" s="755"/>
      <c r="C26" s="757" t="s">
        <v>929</v>
      </c>
      <c r="D26" s="757"/>
      <c r="E26" s="757"/>
      <c r="F26" s="757"/>
      <c r="G26" s="757"/>
      <c r="H26" s="757"/>
      <c r="I26" s="175"/>
    </row>
    <row r="27" spans="2:15" ht="16.5" customHeight="1">
      <c r="B27" s="755"/>
      <c r="C27" s="172">
        <v>1</v>
      </c>
      <c r="D27" s="760" t="s">
        <v>930</v>
      </c>
      <c r="E27" s="760"/>
      <c r="F27" s="760"/>
      <c r="G27" s="760"/>
      <c r="H27" s="769">
        <v>1</v>
      </c>
      <c r="I27" s="767">
        <f>IFERROR(VLOOKUP(H27,FACTORES!$M$4:$N$8,2,0)*B25*$H$2,"Introducir o revisar Valor en Columna H (Valor maximo permitido = 5)")</f>
        <v>1.0000000000000002E-2</v>
      </c>
    </row>
    <row r="28" spans="2:15" ht="16.5">
      <c r="B28" s="755"/>
      <c r="C28" s="172">
        <v>2</v>
      </c>
      <c r="D28" s="760" t="s">
        <v>931</v>
      </c>
      <c r="E28" s="760"/>
      <c r="F28" s="760"/>
      <c r="G28" s="760"/>
      <c r="H28" s="769"/>
      <c r="I28" s="767"/>
    </row>
    <row r="29" spans="2:15" ht="16.5">
      <c r="B29" s="755"/>
      <c r="C29" s="172">
        <v>3</v>
      </c>
      <c r="D29" s="760" t="s">
        <v>932</v>
      </c>
      <c r="E29" s="760"/>
      <c r="F29" s="760"/>
      <c r="G29" s="760"/>
      <c r="H29" s="769"/>
      <c r="I29" s="767"/>
    </row>
    <row r="30" spans="2:15" ht="16.5">
      <c r="B30" s="755"/>
      <c r="C30" s="172">
        <v>4</v>
      </c>
      <c r="D30" s="760" t="s">
        <v>933</v>
      </c>
      <c r="E30" s="760"/>
      <c r="F30" s="760"/>
      <c r="G30" s="760"/>
      <c r="H30" s="769"/>
      <c r="I30" s="767"/>
    </row>
    <row r="31" spans="2:15" ht="16.5">
      <c r="B31" s="755"/>
      <c r="C31" s="172">
        <v>5</v>
      </c>
      <c r="D31" s="760" t="s">
        <v>934</v>
      </c>
      <c r="E31" s="760"/>
      <c r="F31" s="760"/>
      <c r="G31" s="760"/>
      <c r="H31" s="769"/>
      <c r="I31" s="767"/>
    </row>
    <row r="32" spans="2:15" ht="9.9499999999999993" customHeight="1"/>
    <row r="33" spans="2:9" ht="15.75" customHeight="1">
      <c r="B33" s="755">
        <v>0.25</v>
      </c>
      <c r="C33" s="756" t="s">
        <v>935</v>
      </c>
      <c r="D33" s="756"/>
      <c r="E33" s="756"/>
      <c r="F33" s="756"/>
      <c r="G33" s="756"/>
      <c r="H33" s="756"/>
      <c r="I33" s="175"/>
    </row>
    <row r="34" spans="2:9" ht="25.5" customHeight="1">
      <c r="B34" s="755"/>
      <c r="C34" s="757" t="s">
        <v>936</v>
      </c>
      <c r="D34" s="757"/>
      <c r="E34" s="757"/>
      <c r="F34" s="757"/>
      <c r="G34" s="757"/>
      <c r="H34" s="757"/>
      <c r="I34" s="175"/>
    </row>
    <row r="35" spans="2:9" ht="15.75" customHeight="1">
      <c r="B35" s="755"/>
      <c r="C35" s="176">
        <v>1</v>
      </c>
      <c r="D35" s="753" t="s">
        <v>937</v>
      </c>
      <c r="E35" s="753"/>
      <c r="F35" s="753"/>
      <c r="G35" s="753"/>
      <c r="H35" s="769">
        <v>2</v>
      </c>
      <c r="I35" s="767">
        <f>IFERROR(VLOOKUP(H35,FACTORES!$M$4:$N$8,2,0)*B33*$H$2,"Introducir o revisar Valor en Columna H (Valor maximo permitido = 5)")</f>
        <v>3.125E-2</v>
      </c>
    </row>
    <row r="36" spans="2:9" ht="15.75">
      <c r="B36" s="755"/>
      <c r="C36" s="176">
        <v>2</v>
      </c>
      <c r="D36" s="753" t="s">
        <v>938</v>
      </c>
      <c r="E36" s="753"/>
      <c r="F36" s="753"/>
      <c r="G36" s="753"/>
      <c r="H36" s="769"/>
      <c r="I36" s="767"/>
    </row>
    <row r="37" spans="2:9" ht="15.75">
      <c r="B37" s="755"/>
      <c r="C37" s="176">
        <v>3</v>
      </c>
      <c r="D37" s="753" t="s">
        <v>939</v>
      </c>
      <c r="E37" s="753"/>
      <c r="F37" s="753"/>
      <c r="G37" s="753"/>
      <c r="H37" s="769"/>
      <c r="I37" s="767"/>
    </row>
    <row r="38" spans="2:9" ht="15.75">
      <c r="B38" s="755"/>
      <c r="C38" s="176">
        <v>4</v>
      </c>
      <c r="D38" s="753" t="s">
        <v>940</v>
      </c>
      <c r="E38" s="753"/>
      <c r="F38" s="753"/>
      <c r="G38" s="753"/>
      <c r="H38" s="769"/>
      <c r="I38" s="767"/>
    </row>
    <row r="39" spans="2:9" ht="15.6" customHeight="1">
      <c r="B39" s="755"/>
      <c r="C39" s="176">
        <v>5</v>
      </c>
      <c r="D39" s="770" t="s">
        <v>941</v>
      </c>
      <c r="E39" s="770"/>
      <c r="F39" s="770"/>
      <c r="G39" s="770"/>
      <c r="H39" s="769"/>
      <c r="I39" s="767"/>
    </row>
    <row r="40" spans="2:9" ht="15.75">
      <c r="B40" s="168"/>
      <c r="C40" s="168"/>
      <c r="D40" s="169"/>
      <c r="E40" s="169"/>
      <c r="F40" s="169"/>
      <c r="G40" s="169"/>
      <c r="H40" s="168"/>
      <c r="I40" s="168"/>
    </row>
    <row r="41" spans="2:9" ht="15.75" customHeight="1">
      <c r="B41" s="755">
        <v>0.25</v>
      </c>
      <c r="C41" s="756" t="s">
        <v>942</v>
      </c>
      <c r="D41" s="756"/>
      <c r="E41" s="756"/>
      <c r="F41" s="756"/>
      <c r="G41" s="756"/>
      <c r="H41" s="756"/>
      <c r="I41" s="175"/>
    </row>
    <row r="42" spans="2:9" ht="24.95" customHeight="1">
      <c r="B42" s="755"/>
      <c r="C42" s="757" t="s">
        <v>943</v>
      </c>
      <c r="D42" s="757"/>
      <c r="E42" s="757"/>
      <c r="F42" s="757"/>
      <c r="G42" s="757"/>
      <c r="H42" s="757"/>
      <c r="I42" s="175"/>
    </row>
    <row r="43" spans="2:9" ht="15.75" customHeight="1">
      <c r="B43" s="755"/>
      <c r="C43" s="176">
        <v>1</v>
      </c>
      <c r="D43" s="753" t="s">
        <v>944</v>
      </c>
      <c r="E43" s="753"/>
      <c r="F43" s="753"/>
      <c r="G43" s="753"/>
      <c r="H43" s="769">
        <v>3</v>
      </c>
      <c r="I43" s="767">
        <f>IFERROR(VLOOKUP(H43,FACTORES!$M$4:$N$8,2,0)*B41*$H$2,"Introducir o revisar Valor en Columna H (Valor maximo permitido = 5)")</f>
        <v>6.25E-2</v>
      </c>
    </row>
    <row r="44" spans="2:9" ht="15.75">
      <c r="B44" s="755"/>
      <c r="C44" s="176">
        <v>2</v>
      </c>
      <c r="D44" s="753" t="s">
        <v>945</v>
      </c>
      <c r="E44" s="753"/>
      <c r="F44" s="753"/>
      <c r="G44" s="753"/>
      <c r="H44" s="769"/>
      <c r="I44" s="767"/>
    </row>
    <row r="45" spans="2:9" ht="15.75">
      <c r="B45" s="755"/>
      <c r="C45" s="176">
        <v>3</v>
      </c>
      <c r="D45" s="753" t="s">
        <v>946</v>
      </c>
      <c r="E45" s="753"/>
      <c r="F45" s="753"/>
      <c r="G45" s="753"/>
      <c r="H45" s="769"/>
      <c r="I45" s="767"/>
    </row>
    <row r="46" spans="2:9" ht="15.75">
      <c r="B46" s="755"/>
      <c r="C46" s="176">
        <v>4</v>
      </c>
      <c r="D46" s="753" t="s">
        <v>947</v>
      </c>
      <c r="E46" s="753"/>
      <c r="F46" s="753"/>
      <c r="G46" s="753"/>
      <c r="H46" s="769"/>
      <c r="I46" s="767"/>
    </row>
    <row r="47" spans="2:9" ht="16.5" customHeight="1">
      <c r="B47" s="755"/>
      <c r="C47" s="177">
        <v>5</v>
      </c>
      <c r="D47" s="768" t="s">
        <v>948</v>
      </c>
      <c r="E47" s="768"/>
      <c r="F47" s="768"/>
      <c r="G47" s="768"/>
      <c r="H47" s="769"/>
      <c r="I47" s="767"/>
    </row>
    <row r="50" spans="3:12" ht="15.75">
      <c r="C50" s="751" t="s">
        <v>949</v>
      </c>
      <c r="D50" s="751"/>
      <c r="E50" s="751"/>
      <c r="F50" s="751"/>
      <c r="G50" s="751"/>
      <c r="H50" s="751"/>
      <c r="I50" s="187">
        <f>1+I11+I19+I27+I35+I43</f>
        <v>1.1337499999999998</v>
      </c>
      <c r="L50" s="188"/>
    </row>
  </sheetData>
  <sheetProtection algorithmName="SHA-512" hashValue="phb6a0/5NBij1IzpQCetPaInWJkS9KQt8Jg7rBdT0fvnaYXk5B/lk8iS5M7CwuLngnR6VGa8642FFRdprsKVIw==" saltValue="NC/XVw1ewCNLL5MeijExUA==" spinCount="100000" sheet="1"/>
  <mergeCells count="54">
    <mergeCell ref="C2:G2"/>
    <mergeCell ref="B4:H5"/>
    <mergeCell ref="B7:H7"/>
    <mergeCell ref="B9:B15"/>
    <mergeCell ref="C9:H9"/>
    <mergeCell ref="C10:H10"/>
    <mergeCell ref="D11:G11"/>
    <mergeCell ref="H11:H15"/>
    <mergeCell ref="I11:I15"/>
    <mergeCell ref="D12:G12"/>
    <mergeCell ref="D13:G13"/>
    <mergeCell ref="D14:G14"/>
    <mergeCell ref="D15:G15"/>
    <mergeCell ref="B17:B23"/>
    <mergeCell ref="C17:H17"/>
    <mergeCell ref="C18:H18"/>
    <mergeCell ref="D19:G19"/>
    <mergeCell ref="H19:H23"/>
    <mergeCell ref="I19:I23"/>
    <mergeCell ref="D20:G20"/>
    <mergeCell ref="D21:G21"/>
    <mergeCell ref="D22:G22"/>
    <mergeCell ref="D23:G23"/>
    <mergeCell ref="B25:B31"/>
    <mergeCell ref="C25:H25"/>
    <mergeCell ref="C26:H26"/>
    <mergeCell ref="D27:G27"/>
    <mergeCell ref="H27:H31"/>
    <mergeCell ref="I27:I31"/>
    <mergeCell ref="D28:G28"/>
    <mergeCell ref="D29:G29"/>
    <mergeCell ref="D30:G30"/>
    <mergeCell ref="D31:G31"/>
    <mergeCell ref="B33:B39"/>
    <mergeCell ref="C33:H33"/>
    <mergeCell ref="C34:H34"/>
    <mergeCell ref="D35:G35"/>
    <mergeCell ref="H35:H39"/>
    <mergeCell ref="I35:I39"/>
    <mergeCell ref="D36:G36"/>
    <mergeCell ref="D37:G37"/>
    <mergeCell ref="D38:G38"/>
    <mergeCell ref="D39:G39"/>
    <mergeCell ref="B41:B47"/>
    <mergeCell ref="C41:H41"/>
    <mergeCell ref="C42:H42"/>
    <mergeCell ref="D43:G43"/>
    <mergeCell ref="H43:H47"/>
    <mergeCell ref="C50:H50"/>
    <mergeCell ref="I43:I47"/>
    <mergeCell ref="D44:G44"/>
    <mergeCell ref="D45:G45"/>
    <mergeCell ref="D46:G46"/>
    <mergeCell ref="D47:G47"/>
  </mergeCells>
  <dataValidations count="1">
    <dataValidation type="whole" allowBlank="1" showInputMessage="1" showErrorMessage="1" sqref="H11:H15 H19:H23 H27:H31 H35:H39 H43:H47" xr:uid="{00000000-0002-0000-0A00-000000000000}">
      <formula1>1</formula1>
      <formula2>5</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tabColor theme="8" tint="-0.499984740745262"/>
  </sheetPr>
  <dimension ref="B1:I50"/>
  <sheetViews>
    <sheetView showGridLines="0" showRowColHeaders="0" zoomScaleNormal="100" workbookViewId="0">
      <selection activeCell="C33" sqref="C33:H33"/>
    </sheetView>
  </sheetViews>
  <sheetFormatPr baseColWidth="10" defaultColWidth="9.140625" defaultRowHeight="12.75"/>
  <cols>
    <col min="1" max="1" width="2.42578125" customWidth="1"/>
    <col min="2" max="2" width="5.42578125" customWidth="1"/>
    <col min="3" max="3" width="3.85546875" customWidth="1"/>
    <col min="4" max="4" width="13.140625" style="1" customWidth="1"/>
    <col min="5" max="5" width="15.7109375" style="1" customWidth="1"/>
    <col min="6" max="6" width="12.7109375" style="1" customWidth="1"/>
    <col min="7" max="7" width="14" style="1" customWidth="1"/>
    <col min="8" max="8" width="10.42578125" customWidth="1"/>
    <col min="9" max="9" width="15.28515625" customWidth="1"/>
    <col min="10" max="10" width="3.42578125" customWidth="1"/>
    <col min="11" max="11" width="35.28515625" customWidth="1"/>
    <col min="12" max="1025" width="10.42578125" customWidth="1"/>
  </cols>
  <sheetData>
    <row r="1" spans="2:9" ht="15.75">
      <c r="B1" s="168"/>
      <c r="C1" s="168"/>
      <c r="D1" s="169"/>
      <c r="E1" s="169"/>
      <c r="F1" s="169"/>
      <c r="G1" s="169"/>
      <c r="H1" s="168"/>
      <c r="I1" s="168"/>
    </row>
    <row r="2" spans="2:9" ht="15.75">
      <c r="B2" s="168"/>
      <c r="C2" s="764" t="s">
        <v>911</v>
      </c>
      <c r="D2" s="764"/>
      <c r="E2" s="764"/>
      <c r="F2" s="764"/>
      <c r="G2" s="764"/>
      <c r="H2" s="189">
        <v>0.5</v>
      </c>
      <c r="I2" s="168"/>
    </row>
    <row r="3" spans="2:9" ht="15.75">
      <c r="B3" s="168"/>
      <c r="I3" s="168"/>
    </row>
    <row r="4" spans="2:9" ht="15.75" customHeight="1">
      <c r="B4" s="772" t="s">
        <v>950</v>
      </c>
      <c r="C4" s="772"/>
      <c r="D4" s="772"/>
      <c r="E4" s="772"/>
      <c r="F4" s="772"/>
      <c r="G4" s="772"/>
      <c r="H4" s="772"/>
      <c r="I4" s="171"/>
    </row>
    <row r="5" spans="2:9" ht="14.45" customHeight="1">
      <c r="B5" s="772"/>
      <c r="C5" s="772"/>
      <c r="D5" s="772"/>
      <c r="E5" s="772"/>
      <c r="F5" s="772"/>
      <c r="G5" s="772"/>
      <c r="H5" s="772"/>
      <c r="I5" s="171"/>
    </row>
    <row r="6" spans="2:9" ht="14.45" customHeight="1">
      <c r="B6" s="171"/>
      <c r="C6" s="171"/>
      <c r="D6" s="171"/>
      <c r="E6" s="171"/>
      <c r="F6" s="171"/>
      <c r="G6" s="171"/>
      <c r="H6" s="171"/>
      <c r="I6" s="171"/>
    </row>
    <row r="7" spans="2:9" ht="24.95" customHeight="1">
      <c r="B7" s="771" t="s">
        <v>952</v>
      </c>
      <c r="C7" s="771"/>
      <c r="D7" s="771"/>
      <c r="E7" s="771"/>
      <c r="F7" s="771"/>
      <c r="G7" s="771"/>
      <c r="H7" s="771"/>
      <c r="I7" s="171"/>
    </row>
    <row r="8" spans="2:9" ht="15" customHeight="1">
      <c r="B8" s="171"/>
      <c r="C8" s="171"/>
      <c r="D8" s="171"/>
      <c r="E8" s="171"/>
      <c r="F8" s="171"/>
      <c r="G8" s="171"/>
      <c r="H8" s="171"/>
      <c r="I8" s="171"/>
    </row>
    <row r="9" spans="2:9" ht="15.75" customHeight="1">
      <c r="B9" s="755">
        <v>0.1</v>
      </c>
      <c r="C9" s="756" t="s">
        <v>914</v>
      </c>
      <c r="D9" s="756"/>
      <c r="E9" s="756"/>
      <c r="F9" s="756"/>
      <c r="G9" s="756"/>
      <c r="H9" s="756"/>
      <c r="I9" s="168"/>
    </row>
    <row r="10" spans="2:9" ht="36.950000000000003" customHeight="1">
      <c r="B10" s="755"/>
      <c r="C10" s="757" t="s">
        <v>915</v>
      </c>
      <c r="D10" s="757"/>
      <c r="E10" s="757"/>
      <c r="F10" s="757"/>
      <c r="G10" s="757"/>
      <c r="H10" s="757"/>
      <c r="I10" s="168"/>
    </row>
    <row r="11" spans="2:9" ht="16.5" customHeight="1">
      <c r="B11" s="755"/>
      <c r="C11" s="172">
        <v>1</v>
      </c>
      <c r="D11" s="760" t="s">
        <v>916</v>
      </c>
      <c r="E11" s="760"/>
      <c r="F11" s="760"/>
      <c r="G11" s="760"/>
      <c r="H11" s="769">
        <v>1</v>
      </c>
      <c r="I11" s="752">
        <f>IFERROR(VLOOKUP(H11,FACTORES!$M$4:$N$8,2,0)*B9*$H$2,"Introducir o revisar Valor en Columna H (Valor maximo permitido = 5)")</f>
        <v>5.000000000000001E-3</v>
      </c>
    </row>
    <row r="12" spans="2:9" ht="15" customHeight="1">
      <c r="B12" s="755"/>
      <c r="C12" s="172">
        <v>2</v>
      </c>
      <c r="D12" s="762" t="s">
        <v>917</v>
      </c>
      <c r="E12" s="762"/>
      <c r="F12" s="762"/>
      <c r="G12" s="762"/>
      <c r="H12" s="769"/>
      <c r="I12" s="752"/>
    </row>
    <row r="13" spans="2:9" ht="15" customHeight="1">
      <c r="B13" s="755"/>
      <c r="C13" s="172">
        <v>3</v>
      </c>
      <c r="D13" s="762" t="s">
        <v>918</v>
      </c>
      <c r="E13" s="762"/>
      <c r="F13" s="762"/>
      <c r="G13" s="762"/>
      <c r="H13" s="769"/>
      <c r="I13" s="752"/>
    </row>
    <row r="14" spans="2:9" ht="15" customHeight="1">
      <c r="B14" s="755"/>
      <c r="C14" s="172">
        <v>4</v>
      </c>
      <c r="D14" s="762" t="s">
        <v>919</v>
      </c>
      <c r="E14" s="762"/>
      <c r="F14" s="762"/>
      <c r="G14" s="762"/>
      <c r="H14" s="769"/>
      <c r="I14" s="752"/>
    </row>
    <row r="15" spans="2:9" ht="16.5">
      <c r="B15" s="755"/>
      <c r="C15" s="172">
        <v>5</v>
      </c>
      <c r="D15" s="760" t="s">
        <v>920</v>
      </c>
      <c r="E15" s="760"/>
      <c r="F15" s="760"/>
      <c r="G15" s="760"/>
      <c r="H15" s="769"/>
      <c r="I15" s="752"/>
    </row>
    <row r="16" spans="2:9" ht="9.9499999999999993" customHeight="1"/>
    <row r="17" spans="2:9" ht="15.75" customHeight="1">
      <c r="B17" s="755">
        <v>0.2</v>
      </c>
      <c r="C17" s="756" t="s">
        <v>921</v>
      </c>
      <c r="D17" s="756"/>
      <c r="E17" s="756"/>
      <c r="F17" s="756"/>
      <c r="G17" s="756"/>
      <c r="H17" s="756"/>
      <c r="I17" s="175"/>
    </row>
    <row r="18" spans="2:9" ht="31.5" customHeight="1">
      <c r="B18" s="755"/>
      <c r="C18" s="757" t="s">
        <v>922</v>
      </c>
      <c r="D18" s="757"/>
      <c r="E18" s="757"/>
      <c r="F18" s="757"/>
      <c r="G18" s="757"/>
      <c r="H18" s="757"/>
      <c r="I18" s="175"/>
    </row>
    <row r="19" spans="2:9" ht="16.5" customHeight="1">
      <c r="B19" s="755"/>
      <c r="C19" s="176">
        <v>1</v>
      </c>
      <c r="D19" s="760" t="s">
        <v>923</v>
      </c>
      <c r="E19" s="760"/>
      <c r="F19" s="760"/>
      <c r="G19" s="760"/>
      <c r="H19" s="769">
        <v>1</v>
      </c>
      <c r="I19" s="752">
        <f>IFERROR(VLOOKUP(H19,FACTORES!$M$4:$N$8,2,0)*B17*$H$2,"Introducir o revisar Valor en Columna H (Valor maximo permitido = 5)")</f>
        <v>1.0000000000000002E-2</v>
      </c>
    </row>
    <row r="20" spans="2:9" ht="14.45" customHeight="1">
      <c r="B20" s="755"/>
      <c r="C20" s="176">
        <v>2</v>
      </c>
      <c r="D20" s="760" t="s">
        <v>924</v>
      </c>
      <c r="E20" s="760"/>
      <c r="F20" s="760"/>
      <c r="G20" s="760"/>
      <c r="H20" s="769"/>
      <c r="I20" s="752"/>
    </row>
    <row r="21" spans="2:9" ht="16.5">
      <c r="B21" s="755"/>
      <c r="C21" s="176">
        <v>3</v>
      </c>
      <c r="D21" s="760" t="s">
        <v>925</v>
      </c>
      <c r="E21" s="760"/>
      <c r="F21" s="760"/>
      <c r="G21" s="760"/>
      <c r="H21" s="769"/>
      <c r="I21" s="752"/>
    </row>
    <row r="22" spans="2:9" ht="15.6" customHeight="1">
      <c r="B22" s="755"/>
      <c r="C22" s="176">
        <v>4</v>
      </c>
      <c r="D22" s="760" t="s">
        <v>926</v>
      </c>
      <c r="E22" s="760"/>
      <c r="F22" s="760"/>
      <c r="G22" s="760"/>
      <c r="H22" s="769"/>
      <c r="I22" s="752"/>
    </row>
    <row r="23" spans="2:9" ht="15" customHeight="1">
      <c r="B23" s="755"/>
      <c r="C23" s="176">
        <v>5</v>
      </c>
      <c r="D23" s="762" t="s">
        <v>927</v>
      </c>
      <c r="E23" s="762"/>
      <c r="F23" s="762"/>
      <c r="G23" s="762"/>
      <c r="H23" s="769"/>
      <c r="I23" s="752"/>
    </row>
    <row r="24" spans="2:9" ht="9.9499999999999993" customHeight="1"/>
    <row r="25" spans="2:9" ht="15.75" customHeight="1">
      <c r="B25" s="755">
        <v>0.2</v>
      </c>
      <c r="C25" s="756" t="s">
        <v>928</v>
      </c>
      <c r="D25" s="756"/>
      <c r="E25" s="756"/>
      <c r="F25" s="756"/>
      <c r="G25" s="756"/>
      <c r="H25" s="756"/>
      <c r="I25" s="175"/>
    </row>
    <row r="26" spans="2:9" ht="41.1" customHeight="1">
      <c r="B26" s="755"/>
      <c r="C26" s="757" t="s">
        <v>929</v>
      </c>
      <c r="D26" s="757"/>
      <c r="E26" s="757"/>
      <c r="F26" s="757"/>
      <c r="G26" s="757"/>
      <c r="H26" s="757"/>
      <c r="I26" s="175"/>
    </row>
    <row r="27" spans="2:9" ht="16.5" customHeight="1">
      <c r="B27" s="755"/>
      <c r="C27" s="172">
        <v>1</v>
      </c>
      <c r="D27" s="760" t="s">
        <v>930</v>
      </c>
      <c r="E27" s="760"/>
      <c r="F27" s="760"/>
      <c r="G27" s="760"/>
      <c r="H27" s="769">
        <v>1</v>
      </c>
      <c r="I27" s="752">
        <f>IFERROR(VLOOKUP(H27,FACTORES!$M$4:$N$8,2,0)*B25*$H$2,"Introducir o revisar Valor en Columna H (Valor maximo permitido = 5)")</f>
        <v>1.0000000000000002E-2</v>
      </c>
    </row>
    <row r="28" spans="2:9" ht="16.5">
      <c r="B28" s="755"/>
      <c r="C28" s="172">
        <v>2</v>
      </c>
      <c r="D28" s="760" t="s">
        <v>931</v>
      </c>
      <c r="E28" s="760"/>
      <c r="F28" s="760"/>
      <c r="G28" s="760"/>
      <c r="H28" s="769"/>
      <c r="I28" s="752"/>
    </row>
    <row r="29" spans="2:9" ht="16.5">
      <c r="B29" s="755"/>
      <c r="C29" s="172">
        <v>3</v>
      </c>
      <c r="D29" s="760" t="s">
        <v>932</v>
      </c>
      <c r="E29" s="760"/>
      <c r="F29" s="760"/>
      <c r="G29" s="760"/>
      <c r="H29" s="769"/>
      <c r="I29" s="752"/>
    </row>
    <row r="30" spans="2:9" ht="16.5">
      <c r="B30" s="755"/>
      <c r="C30" s="172">
        <v>4</v>
      </c>
      <c r="D30" s="760" t="s">
        <v>933</v>
      </c>
      <c r="E30" s="760"/>
      <c r="F30" s="760"/>
      <c r="G30" s="760"/>
      <c r="H30" s="769"/>
      <c r="I30" s="752"/>
    </row>
    <row r="31" spans="2:9" ht="16.5">
      <c r="B31" s="755"/>
      <c r="C31" s="172">
        <v>5</v>
      </c>
      <c r="D31" s="761" t="s">
        <v>934</v>
      </c>
      <c r="E31" s="761"/>
      <c r="F31" s="761"/>
      <c r="G31" s="761"/>
      <c r="H31" s="769"/>
      <c r="I31" s="752"/>
    </row>
    <row r="32" spans="2:9" ht="9.9499999999999993" customHeight="1"/>
    <row r="33" spans="2:9" ht="15.75" customHeight="1">
      <c r="B33" s="755">
        <v>0.25</v>
      </c>
      <c r="C33" s="756" t="s">
        <v>935</v>
      </c>
      <c r="D33" s="756"/>
      <c r="E33" s="756"/>
      <c r="F33" s="756"/>
      <c r="G33" s="756"/>
      <c r="H33" s="756"/>
      <c r="I33" s="175"/>
    </row>
    <row r="34" spans="2:9" ht="25.5" customHeight="1">
      <c r="B34" s="755"/>
      <c r="C34" s="757" t="s">
        <v>936</v>
      </c>
      <c r="D34" s="757"/>
      <c r="E34" s="757"/>
      <c r="F34" s="757"/>
      <c r="G34" s="757"/>
      <c r="H34" s="757"/>
      <c r="I34" s="175"/>
    </row>
    <row r="35" spans="2:9" ht="15.75" customHeight="1">
      <c r="B35" s="755"/>
      <c r="C35" s="176">
        <v>1</v>
      </c>
      <c r="D35" s="753" t="s">
        <v>937</v>
      </c>
      <c r="E35" s="753"/>
      <c r="F35" s="753"/>
      <c r="G35" s="753"/>
      <c r="H35" s="769">
        <v>1</v>
      </c>
      <c r="I35" s="752">
        <f>IFERROR(VLOOKUP(H35,FACTORES!$M$4:$N$8,2,0)*B33*$H$2,"Introducir o revisar Valor en Columna H (Valor maximo permitido = 5)")</f>
        <v>1.2500000000000001E-2</v>
      </c>
    </row>
    <row r="36" spans="2:9" ht="15.75">
      <c r="B36" s="755"/>
      <c r="C36" s="176">
        <v>2</v>
      </c>
      <c r="D36" s="753" t="s">
        <v>938</v>
      </c>
      <c r="E36" s="753"/>
      <c r="F36" s="753"/>
      <c r="G36" s="753"/>
      <c r="H36" s="769"/>
      <c r="I36" s="752"/>
    </row>
    <row r="37" spans="2:9" ht="15.75">
      <c r="B37" s="755"/>
      <c r="C37" s="176">
        <v>3</v>
      </c>
      <c r="D37" s="753" t="s">
        <v>939</v>
      </c>
      <c r="E37" s="753"/>
      <c r="F37" s="753"/>
      <c r="G37" s="753"/>
      <c r="H37" s="769"/>
      <c r="I37" s="752"/>
    </row>
    <row r="38" spans="2:9" ht="15.75">
      <c r="B38" s="755"/>
      <c r="C38" s="176">
        <v>4</v>
      </c>
      <c r="D38" s="753" t="s">
        <v>940</v>
      </c>
      <c r="E38" s="753"/>
      <c r="F38" s="753"/>
      <c r="G38" s="753"/>
      <c r="H38" s="769"/>
      <c r="I38" s="752"/>
    </row>
    <row r="39" spans="2:9" ht="15.6" customHeight="1">
      <c r="B39" s="755"/>
      <c r="C39" s="176">
        <v>5</v>
      </c>
      <c r="D39" s="759" t="s">
        <v>941</v>
      </c>
      <c r="E39" s="759"/>
      <c r="F39" s="759"/>
      <c r="G39" s="759"/>
      <c r="H39" s="769"/>
      <c r="I39" s="752"/>
    </row>
    <row r="40" spans="2:9" ht="15.75">
      <c r="B40" s="168"/>
      <c r="C40" s="168"/>
      <c r="D40" s="169"/>
      <c r="E40" s="169"/>
      <c r="F40" s="169"/>
      <c r="G40" s="169"/>
      <c r="H40" s="168"/>
      <c r="I40" s="168"/>
    </row>
    <row r="41" spans="2:9" ht="15.75">
      <c r="B41" s="755">
        <v>0.25</v>
      </c>
      <c r="C41" s="756" t="s">
        <v>942</v>
      </c>
      <c r="D41" s="756"/>
      <c r="E41" s="756"/>
      <c r="F41" s="756"/>
      <c r="G41" s="756"/>
      <c r="H41" s="756"/>
      <c r="I41" s="175"/>
    </row>
    <row r="42" spans="2:9" ht="24.95" customHeight="1">
      <c r="B42" s="755"/>
      <c r="C42" s="757" t="s">
        <v>943</v>
      </c>
      <c r="D42" s="757"/>
      <c r="E42" s="757"/>
      <c r="F42" s="757"/>
      <c r="G42" s="757"/>
      <c r="H42" s="757"/>
      <c r="I42" s="175"/>
    </row>
    <row r="43" spans="2:9" ht="15.75" customHeight="1">
      <c r="B43" s="755"/>
      <c r="C43" s="176">
        <v>1</v>
      </c>
      <c r="D43" s="753" t="s">
        <v>944</v>
      </c>
      <c r="E43" s="753"/>
      <c r="F43" s="753"/>
      <c r="G43" s="753"/>
      <c r="H43" s="769">
        <v>2</v>
      </c>
      <c r="I43" s="752">
        <f>IFERROR(VLOOKUP(H43,FACTORES!$M$4:$N$8,2,0)*B41*$H$2,"Introducir o revisar Valor en Columna H (Valor maximo permitido = 5)")</f>
        <v>3.125E-2</v>
      </c>
    </row>
    <row r="44" spans="2:9" ht="15.75">
      <c r="B44" s="755"/>
      <c r="C44" s="176">
        <v>2</v>
      </c>
      <c r="D44" s="753" t="s">
        <v>945</v>
      </c>
      <c r="E44" s="753"/>
      <c r="F44" s="753"/>
      <c r="G44" s="753"/>
      <c r="H44" s="769"/>
      <c r="I44" s="752"/>
    </row>
    <row r="45" spans="2:9" ht="15.75">
      <c r="B45" s="755"/>
      <c r="C45" s="176">
        <v>3</v>
      </c>
      <c r="D45" s="753" t="s">
        <v>946</v>
      </c>
      <c r="E45" s="753"/>
      <c r="F45" s="753"/>
      <c r="G45" s="753"/>
      <c r="H45" s="769"/>
      <c r="I45" s="752"/>
    </row>
    <row r="46" spans="2:9" ht="15.75">
      <c r="B46" s="755"/>
      <c r="C46" s="176">
        <v>4</v>
      </c>
      <c r="D46" s="753" t="s">
        <v>947</v>
      </c>
      <c r="E46" s="753"/>
      <c r="F46" s="753"/>
      <c r="G46" s="753"/>
      <c r="H46" s="769"/>
      <c r="I46" s="752"/>
    </row>
    <row r="47" spans="2:9" ht="15.6" customHeight="1">
      <c r="B47" s="755"/>
      <c r="C47" s="177">
        <v>5</v>
      </c>
      <c r="D47" s="754" t="s">
        <v>948</v>
      </c>
      <c r="E47" s="754"/>
      <c r="F47" s="754"/>
      <c r="G47" s="754"/>
      <c r="H47" s="769"/>
      <c r="I47" s="752"/>
    </row>
    <row r="50" spans="3:9" ht="15.75">
      <c r="C50" s="751" t="s">
        <v>949</v>
      </c>
      <c r="D50" s="751"/>
      <c r="E50" s="751"/>
      <c r="F50" s="751"/>
      <c r="G50" s="751"/>
      <c r="H50" s="751"/>
      <c r="I50" s="178">
        <f>1+I11+I19+I27+I35+I43</f>
        <v>1.0687499999999999</v>
      </c>
    </row>
  </sheetData>
  <sheetProtection algorithmName="SHA-512" hashValue="orFXzz2UQfFIZRANDiT0sQsNj5WGFfQjVaXR9i2Ae4JIix2e0iRjVcE8x5Tj2QqMFmA+W+uGU66MAqmd/lMo2w==" saltValue="p15tcXzGes48AbFym8XKBA==" spinCount="100000" sheet="1"/>
  <mergeCells count="54">
    <mergeCell ref="C2:G2"/>
    <mergeCell ref="B4:H5"/>
    <mergeCell ref="B7:H7"/>
    <mergeCell ref="B9:B15"/>
    <mergeCell ref="C9:H9"/>
    <mergeCell ref="C10:H10"/>
    <mergeCell ref="D11:G11"/>
    <mergeCell ref="H11:H15"/>
    <mergeCell ref="I11:I15"/>
    <mergeCell ref="D12:G12"/>
    <mergeCell ref="D13:G13"/>
    <mergeCell ref="D14:G14"/>
    <mergeCell ref="D15:G15"/>
    <mergeCell ref="B17:B23"/>
    <mergeCell ref="C17:H17"/>
    <mergeCell ref="C18:H18"/>
    <mergeCell ref="D19:G19"/>
    <mergeCell ref="H19:H23"/>
    <mergeCell ref="I19:I23"/>
    <mergeCell ref="D20:G20"/>
    <mergeCell ref="D21:G21"/>
    <mergeCell ref="D22:G22"/>
    <mergeCell ref="D23:G23"/>
    <mergeCell ref="B25:B31"/>
    <mergeCell ref="C25:H25"/>
    <mergeCell ref="C26:H26"/>
    <mergeCell ref="D27:G27"/>
    <mergeCell ref="H27:H31"/>
    <mergeCell ref="I27:I31"/>
    <mergeCell ref="D28:G28"/>
    <mergeCell ref="D29:G29"/>
    <mergeCell ref="D30:G30"/>
    <mergeCell ref="D31:G31"/>
    <mergeCell ref="B33:B39"/>
    <mergeCell ref="C33:H33"/>
    <mergeCell ref="C34:H34"/>
    <mergeCell ref="D35:G35"/>
    <mergeCell ref="H35:H39"/>
    <mergeCell ref="I35:I39"/>
    <mergeCell ref="D36:G36"/>
    <mergeCell ref="D37:G37"/>
    <mergeCell ref="D38:G38"/>
    <mergeCell ref="D39:G39"/>
    <mergeCell ref="B41:B47"/>
    <mergeCell ref="C41:H41"/>
    <mergeCell ref="C42:H42"/>
    <mergeCell ref="D43:G43"/>
    <mergeCell ref="H43:H47"/>
    <mergeCell ref="C50:H50"/>
    <mergeCell ref="I43:I47"/>
    <mergeCell ref="D44:G44"/>
    <mergeCell ref="D45:G45"/>
    <mergeCell ref="D46:G46"/>
    <mergeCell ref="D47:G47"/>
  </mergeCells>
  <dataValidations count="1">
    <dataValidation type="whole" allowBlank="1" showInputMessage="1" showErrorMessage="1" sqref="H11:H15 H19:H23 H27:H31 H35:H39 H43:H47" xr:uid="{00000000-0002-0000-0B00-000000000000}">
      <formula1>1</formula1>
      <formula2>5</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tabColor theme="8" tint="-0.499984740745262"/>
  </sheetPr>
  <dimension ref="B1:I49"/>
  <sheetViews>
    <sheetView showGridLines="0" showRowColHeaders="0" zoomScaleNormal="100" workbookViewId="0">
      <selection activeCell="C33" sqref="C33:H33"/>
    </sheetView>
  </sheetViews>
  <sheetFormatPr baseColWidth="10" defaultColWidth="9.140625" defaultRowHeight="12.75"/>
  <cols>
    <col min="1" max="1" width="2.42578125" customWidth="1"/>
    <col min="2" max="2" width="5.42578125" customWidth="1"/>
    <col min="3" max="3" width="3.85546875" customWidth="1"/>
    <col min="4" max="4" width="13.140625" style="1" customWidth="1"/>
    <col min="5" max="5" width="15.7109375" style="1" customWidth="1"/>
    <col min="6" max="6" width="12.7109375" style="1" customWidth="1"/>
    <col min="7" max="7" width="14" style="1" customWidth="1"/>
    <col min="8" max="8" width="10.42578125" customWidth="1"/>
    <col min="9" max="9" width="15.28515625" customWidth="1"/>
    <col min="10" max="10" width="3.42578125" customWidth="1"/>
    <col min="11" max="11" width="35.28515625" customWidth="1"/>
    <col min="12" max="1025" width="10.42578125" customWidth="1"/>
  </cols>
  <sheetData>
    <row r="1" spans="2:9" ht="15.75">
      <c r="B1" s="168"/>
      <c r="C1" s="168"/>
      <c r="D1" s="169"/>
      <c r="E1" s="169"/>
      <c r="F1" s="169"/>
      <c r="G1" s="169"/>
      <c r="H1" s="168"/>
      <c r="I1" s="168"/>
    </row>
    <row r="2" spans="2:9" ht="15.75">
      <c r="B2" s="168"/>
      <c r="C2" s="764" t="s">
        <v>911</v>
      </c>
      <c r="D2" s="764"/>
      <c r="E2" s="764"/>
      <c r="F2" s="764"/>
      <c r="G2" s="764"/>
      <c r="H2" s="189">
        <v>0.5</v>
      </c>
      <c r="I2" s="168"/>
    </row>
    <row r="3" spans="2:9" ht="15.75" customHeight="1">
      <c r="B3" s="772" t="s">
        <v>950</v>
      </c>
      <c r="C3" s="772"/>
      <c r="D3" s="772"/>
      <c r="E3" s="772"/>
      <c r="F3" s="772"/>
      <c r="G3" s="772"/>
      <c r="H3" s="772"/>
      <c r="I3" s="171"/>
    </row>
    <row r="4" spans="2:9" ht="14.45" customHeight="1">
      <c r="B4" s="772"/>
      <c r="C4" s="772"/>
      <c r="D4" s="772"/>
      <c r="E4" s="772"/>
      <c r="F4" s="772"/>
      <c r="G4" s="772"/>
      <c r="H4" s="772"/>
      <c r="I4" s="171"/>
    </row>
    <row r="5" spans="2:9" ht="14.45" customHeight="1">
      <c r="B5" s="171"/>
      <c r="C5" s="171"/>
      <c r="D5" s="171"/>
      <c r="E5" s="171"/>
      <c r="F5" s="171"/>
      <c r="G5" s="171"/>
      <c r="H5" s="171"/>
      <c r="I5" s="171"/>
    </row>
    <row r="6" spans="2:9" ht="14.45" customHeight="1">
      <c r="B6" s="771" t="s">
        <v>953</v>
      </c>
      <c r="C6" s="771"/>
      <c r="D6" s="771"/>
      <c r="E6" s="771"/>
      <c r="F6" s="771"/>
      <c r="G6" s="771"/>
      <c r="H6" s="771"/>
      <c r="I6" s="171"/>
    </row>
    <row r="7" spans="2:9" ht="15" customHeight="1">
      <c r="B7" s="171"/>
      <c r="C7" s="171"/>
      <c r="D7" s="171"/>
      <c r="E7" s="171"/>
      <c r="F7" s="171"/>
      <c r="G7" s="171"/>
      <c r="H7" s="171"/>
      <c r="I7" s="171"/>
    </row>
    <row r="8" spans="2:9" ht="15.75" customHeight="1">
      <c r="B8" s="755">
        <v>0.1</v>
      </c>
      <c r="C8" s="756" t="s">
        <v>914</v>
      </c>
      <c r="D8" s="756"/>
      <c r="E8" s="756"/>
      <c r="F8" s="756"/>
      <c r="G8" s="756"/>
      <c r="H8" s="756"/>
      <c r="I8" s="168"/>
    </row>
    <row r="9" spans="2:9" ht="36.950000000000003" customHeight="1">
      <c r="B9" s="755"/>
      <c r="C9" s="757" t="s">
        <v>915</v>
      </c>
      <c r="D9" s="757"/>
      <c r="E9" s="757"/>
      <c r="F9" s="757"/>
      <c r="G9" s="757"/>
      <c r="H9" s="757"/>
      <c r="I9" s="168"/>
    </row>
    <row r="10" spans="2:9" ht="16.5" customHeight="1">
      <c r="B10" s="755"/>
      <c r="C10" s="172">
        <v>1</v>
      </c>
      <c r="D10" s="760" t="s">
        <v>916</v>
      </c>
      <c r="E10" s="760"/>
      <c r="F10" s="760"/>
      <c r="G10" s="760"/>
      <c r="H10" s="769">
        <v>1</v>
      </c>
      <c r="I10" s="752">
        <f>IFERROR(VLOOKUP(H10,FACTORES!$M$4:$N$8,2,0)*B8*$H$2,"Introducir o revisar Valor en Columna H (Valor maximo permitido = 5)")</f>
        <v>5.000000000000001E-3</v>
      </c>
    </row>
    <row r="11" spans="2:9" ht="15" customHeight="1">
      <c r="B11" s="755"/>
      <c r="C11" s="172">
        <v>2</v>
      </c>
      <c r="D11" s="762" t="s">
        <v>917</v>
      </c>
      <c r="E11" s="762"/>
      <c r="F11" s="762"/>
      <c r="G11" s="762"/>
      <c r="H11" s="769"/>
      <c r="I11" s="752"/>
    </row>
    <row r="12" spans="2:9" ht="15" customHeight="1">
      <c r="B12" s="755"/>
      <c r="C12" s="172">
        <v>3</v>
      </c>
      <c r="D12" s="762" t="s">
        <v>918</v>
      </c>
      <c r="E12" s="762"/>
      <c r="F12" s="762"/>
      <c r="G12" s="762"/>
      <c r="H12" s="769"/>
      <c r="I12" s="752"/>
    </row>
    <row r="13" spans="2:9" ht="15" customHeight="1">
      <c r="B13" s="755"/>
      <c r="C13" s="172">
        <v>4</v>
      </c>
      <c r="D13" s="762" t="s">
        <v>919</v>
      </c>
      <c r="E13" s="762"/>
      <c r="F13" s="762"/>
      <c r="G13" s="762"/>
      <c r="H13" s="769"/>
      <c r="I13" s="752"/>
    </row>
    <row r="14" spans="2:9" ht="16.5">
      <c r="B14" s="755"/>
      <c r="C14" s="172">
        <v>5</v>
      </c>
      <c r="D14" s="760" t="s">
        <v>920</v>
      </c>
      <c r="E14" s="760"/>
      <c r="F14" s="760"/>
      <c r="G14" s="760"/>
      <c r="H14" s="769"/>
      <c r="I14" s="752"/>
    </row>
    <row r="15" spans="2:9" ht="9.9499999999999993" customHeight="1"/>
    <row r="16" spans="2:9" ht="15.75" customHeight="1">
      <c r="B16" s="755">
        <v>0.2</v>
      </c>
      <c r="C16" s="756" t="s">
        <v>921</v>
      </c>
      <c r="D16" s="756"/>
      <c r="E16" s="756"/>
      <c r="F16" s="756"/>
      <c r="G16" s="756"/>
      <c r="H16" s="756"/>
      <c r="I16" s="175"/>
    </row>
    <row r="17" spans="2:9" ht="31.5" customHeight="1">
      <c r="B17" s="755"/>
      <c r="C17" s="757" t="s">
        <v>922</v>
      </c>
      <c r="D17" s="757"/>
      <c r="E17" s="757"/>
      <c r="F17" s="757"/>
      <c r="G17" s="757"/>
      <c r="H17" s="757"/>
      <c r="I17" s="175"/>
    </row>
    <row r="18" spans="2:9" ht="16.5" customHeight="1">
      <c r="B18" s="755"/>
      <c r="C18" s="176">
        <v>1</v>
      </c>
      <c r="D18" s="760" t="s">
        <v>923</v>
      </c>
      <c r="E18" s="760"/>
      <c r="F18" s="760"/>
      <c r="G18" s="760"/>
      <c r="H18" s="769">
        <v>2</v>
      </c>
      <c r="I18" s="752">
        <f>IFERROR(VLOOKUP(H18,FACTORES!$M$4:$N$8,2,0)*B16*$H$2,"Introducir o revisar Valor en Columna H (Valor maximo permitido = 5)")</f>
        <v>2.5000000000000001E-2</v>
      </c>
    </row>
    <row r="19" spans="2:9" ht="14.45" customHeight="1">
      <c r="B19" s="755"/>
      <c r="C19" s="176">
        <v>2</v>
      </c>
      <c r="D19" s="760" t="s">
        <v>924</v>
      </c>
      <c r="E19" s="760"/>
      <c r="F19" s="760"/>
      <c r="G19" s="760"/>
      <c r="H19" s="769"/>
      <c r="I19" s="752"/>
    </row>
    <row r="20" spans="2:9" ht="16.5">
      <c r="B20" s="755"/>
      <c r="C20" s="176">
        <v>3</v>
      </c>
      <c r="D20" s="760" t="s">
        <v>925</v>
      </c>
      <c r="E20" s="760"/>
      <c r="F20" s="760"/>
      <c r="G20" s="760"/>
      <c r="H20" s="769"/>
      <c r="I20" s="752"/>
    </row>
    <row r="21" spans="2:9" ht="15.6" customHeight="1">
      <c r="B21" s="755"/>
      <c r="C21" s="176">
        <v>4</v>
      </c>
      <c r="D21" s="760" t="s">
        <v>926</v>
      </c>
      <c r="E21" s="760"/>
      <c r="F21" s="760"/>
      <c r="G21" s="760"/>
      <c r="H21" s="769"/>
      <c r="I21" s="752"/>
    </row>
    <row r="22" spans="2:9" ht="15" customHeight="1">
      <c r="B22" s="755"/>
      <c r="C22" s="176">
        <v>5</v>
      </c>
      <c r="D22" s="762" t="s">
        <v>927</v>
      </c>
      <c r="E22" s="762"/>
      <c r="F22" s="762"/>
      <c r="G22" s="762"/>
      <c r="H22" s="769"/>
      <c r="I22" s="752"/>
    </row>
    <row r="23" spans="2:9" ht="9.9499999999999993" customHeight="1"/>
    <row r="24" spans="2:9" ht="15.75" customHeight="1">
      <c r="B24" s="755">
        <v>0.2</v>
      </c>
      <c r="C24" s="756" t="s">
        <v>928</v>
      </c>
      <c r="D24" s="756"/>
      <c r="E24" s="756"/>
      <c r="F24" s="756"/>
      <c r="G24" s="756"/>
      <c r="H24" s="756"/>
      <c r="I24" s="175"/>
    </row>
    <row r="25" spans="2:9" ht="41.1" customHeight="1">
      <c r="B25" s="755"/>
      <c r="C25" s="757" t="s">
        <v>929</v>
      </c>
      <c r="D25" s="757"/>
      <c r="E25" s="757"/>
      <c r="F25" s="757"/>
      <c r="G25" s="757"/>
      <c r="H25" s="757"/>
      <c r="I25" s="175"/>
    </row>
    <row r="26" spans="2:9" ht="16.5" customHeight="1">
      <c r="B26" s="755"/>
      <c r="C26" s="172">
        <v>1</v>
      </c>
      <c r="D26" s="760" t="s">
        <v>930</v>
      </c>
      <c r="E26" s="760"/>
      <c r="F26" s="760"/>
      <c r="G26" s="760"/>
      <c r="H26" s="769">
        <v>2</v>
      </c>
      <c r="I26" s="752">
        <f>IFERROR(VLOOKUP(H26,FACTORES!$M$4:$N$8,2,0)*B24*$H$2,"Introducir o revisar Valor en Columna H (Valor maximo permitido = 5)")</f>
        <v>2.5000000000000001E-2</v>
      </c>
    </row>
    <row r="27" spans="2:9" ht="16.5">
      <c r="B27" s="755"/>
      <c r="C27" s="172">
        <v>2</v>
      </c>
      <c r="D27" s="760" t="s">
        <v>931</v>
      </c>
      <c r="E27" s="760"/>
      <c r="F27" s="760"/>
      <c r="G27" s="760"/>
      <c r="H27" s="769"/>
      <c r="I27" s="752"/>
    </row>
    <row r="28" spans="2:9" ht="16.5">
      <c r="B28" s="755"/>
      <c r="C28" s="172">
        <v>3</v>
      </c>
      <c r="D28" s="760" t="s">
        <v>932</v>
      </c>
      <c r="E28" s="760"/>
      <c r="F28" s="760"/>
      <c r="G28" s="760"/>
      <c r="H28" s="769"/>
      <c r="I28" s="752"/>
    </row>
    <row r="29" spans="2:9" ht="16.5">
      <c r="B29" s="755"/>
      <c r="C29" s="172">
        <v>4</v>
      </c>
      <c r="D29" s="760" t="s">
        <v>933</v>
      </c>
      <c r="E29" s="760"/>
      <c r="F29" s="760"/>
      <c r="G29" s="760"/>
      <c r="H29" s="769"/>
      <c r="I29" s="752"/>
    </row>
    <row r="30" spans="2:9" ht="16.5">
      <c r="B30" s="755"/>
      <c r="C30" s="172">
        <v>5</v>
      </c>
      <c r="D30" s="761" t="s">
        <v>934</v>
      </c>
      <c r="E30" s="761"/>
      <c r="F30" s="761"/>
      <c r="G30" s="761"/>
      <c r="H30" s="769"/>
      <c r="I30" s="752"/>
    </row>
    <row r="31" spans="2:9" ht="9.9499999999999993" customHeight="1"/>
    <row r="32" spans="2:9" ht="15.75" customHeight="1">
      <c r="B32" s="755">
        <v>0.25</v>
      </c>
      <c r="C32" s="756" t="s">
        <v>935</v>
      </c>
      <c r="D32" s="756"/>
      <c r="E32" s="756"/>
      <c r="F32" s="756"/>
      <c r="G32" s="756"/>
      <c r="H32" s="756"/>
      <c r="I32" s="175"/>
    </row>
    <row r="33" spans="2:9" ht="25.5" customHeight="1">
      <c r="B33" s="755"/>
      <c r="C33" s="757" t="s">
        <v>936</v>
      </c>
      <c r="D33" s="757"/>
      <c r="E33" s="757"/>
      <c r="F33" s="757"/>
      <c r="G33" s="757"/>
      <c r="H33" s="757"/>
      <c r="I33" s="175"/>
    </row>
    <row r="34" spans="2:9" ht="15.75" customHeight="1">
      <c r="B34" s="755"/>
      <c r="C34" s="176">
        <v>1</v>
      </c>
      <c r="D34" s="753" t="s">
        <v>937</v>
      </c>
      <c r="E34" s="753"/>
      <c r="F34" s="753"/>
      <c r="G34" s="753"/>
      <c r="H34" s="769">
        <v>2</v>
      </c>
      <c r="I34" s="752">
        <f>IFERROR(VLOOKUP(H34,FACTORES!$M$4:$N$8,2,0)*B32*$H$2,"Introducir o revisar Valor en Columna H (Valor maximo permitido = 5)")</f>
        <v>3.125E-2</v>
      </c>
    </row>
    <row r="35" spans="2:9" ht="15.75">
      <c r="B35" s="755"/>
      <c r="C35" s="176">
        <v>2</v>
      </c>
      <c r="D35" s="753" t="s">
        <v>938</v>
      </c>
      <c r="E35" s="753"/>
      <c r="F35" s="753"/>
      <c r="G35" s="753"/>
      <c r="H35" s="769"/>
      <c r="I35" s="752"/>
    </row>
    <row r="36" spans="2:9" ht="15.75">
      <c r="B36" s="755"/>
      <c r="C36" s="176">
        <v>3</v>
      </c>
      <c r="D36" s="753" t="s">
        <v>939</v>
      </c>
      <c r="E36" s="753"/>
      <c r="F36" s="753"/>
      <c r="G36" s="753"/>
      <c r="H36" s="769"/>
      <c r="I36" s="752"/>
    </row>
    <row r="37" spans="2:9" ht="15.75">
      <c r="B37" s="755"/>
      <c r="C37" s="176">
        <v>4</v>
      </c>
      <c r="D37" s="753" t="s">
        <v>940</v>
      </c>
      <c r="E37" s="753"/>
      <c r="F37" s="753"/>
      <c r="G37" s="753"/>
      <c r="H37" s="769"/>
      <c r="I37" s="752"/>
    </row>
    <row r="38" spans="2:9" ht="15.6" customHeight="1">
      <c r="B38" s="755"/>
      <c r="C38" s="176">
        <v>5</v>
      </c>
      <c r="D38" s="759" t="s">
        <v>941</v>
      </c>
      <c r="E38" s="759"/>
      <c r="F38" s="759"/>
      <c r="G38" s="759"/>
      <c r="H38" s="769"/>
      <c r="I38" s="752"/>
    </row>
    <row r="39" spans="2:9" ht="15.75">
      <c r="B39" s="168"/>
      <c r="C39" s="168"/>
      <c r="D39" s="169"/>
      <c r="E39" s="169"/>
      <c r="F39" s="169"/>
      <c r="G39" s="169"/>
      <c r="H39" s="168"/>
      <c r="I39" s="168"/>
    </row>
    <row r="40" spans="2:9" ht="15.75">
      <c r="B40" s="755">
        <v>0.25</v>
      </c>
      <c r="C40" s="756" t="s">
        <v>942</v>
      </c>
      <c r="D40" s="756"/>
      <c r="E40" s="756"/>
      <c r="F40" s="756"/>
      <c r="G40" s="756"/>
      <c r="H40" s="756"/>
      <c r="I40" s="175"/>
    </row>
    <row r="41" spans="2:9" ht="24.95" customHeight="1">
      <c r="B41" s="755"/>
      <c r="C41" s="757" t="s">
        <v>943</v>
      </c>
      <c r="D41" s="757"/>
      <c r="E41" s="757"/>
      <c r="F41" s="757"/>
      <c r="G41" s="757"/>
      <c r="H41" s="757"/>
      <c r="I41" s="175"/>
    </row>
    <row r="42" spans="2:9" ht="15.75" customHeight="1">
      <c r="B42" s="755"/>
      <c r="C42" s="176">
        <v>1</v>
      </c>
      <c r="D42" s="753" t="s">
        <v>944</v>
      </c>
      <c r="E42" s="753"/>
      <c r="F42" s="753"/>
      <c r="G42" s="753"/>
      <c r="H42" s="769">
        <v>2</v>
      </c>
      <c r="I42" s="752">
        <f>IFERROR(VLOOKUP(H42,FACTORES!$M$4:$N$8,2,0)*B40*$H$2,"Introducir o revisar Valor en Columna H (Valor maximo permitido = 5)")</f>
        <v>3.125E-2</v>
      </c>
    </row>
    <row r="43" spans="2:9" ht="15.75">
      <c r="B43" s="755"/>
      <c r="C43" s="176">
        <v>2</v>
      </c>
      <c r="D43" s="753" t="s">
        <v>945</v>
      </c>
      <c r="E43" s="753"/>
      <c r="F43" s="753"/>
      <c r="G43" s="753"/>
      <c r="H43" s="769"/>
      <c r="I43" s="752"/>
    </row>
    <row r="44" spans="2:9" ht="15.75">
      <c r="B44" s="755"/>
      <c r="C44" s="176">
        <v>3</v>
      </c>
      <c r="D44" s="753" t="s">
        <v>946</v>
      </c>
      <c r="E44" s="753"/>
      <c r="F44" s="753"/>
      <c r="G44" s="753"/>
      <c r="H44" s="769"/>
      <c r="I44" s="752"/>
    </row>
    <row r="45" spans="2:9" ht="15.75">
      <c r="B45" s="755"/>
      <c r="C45" s="176">
        <v>4</v>
      </c>
      <c r="D45" s="753" t="s">
        <v>947</v>
      </c>
      <c r="E45" s="753"/>
      <c r="F45" s="753"/>
      <c r="G45" s="753"/>
      <c r="H45" s="769"/>
      <c r="I45" s="752"/>
    </row>
    <row r="46" spans="2:9" ht="15.6" customHeight="1">
      <c r="B46" s="755"/>
      <c r="C46" s="177">
        <v>5</v>
      </c>
      <c r="D46" s="754" t="s">
        <v>948</v>
      </c>
      <c r="E46" s="754"/>
      <c r="F46" s="754"/>
      <c r="G46" s="754"/>
      <c r="H46" s="769"/>
      <c r="I46" s="752"/>
    </row>
    <row r="49" spans="3:9" ht="15.75">
      <c r="C49" s="751" t="s">
        <v>949</v>
      </c>
      <c r="D49" s="751"/>
      <c r="E49" s="751"/>
      <c r="F49" s="751"/>
      <c r="G49" s="751"/>
      <c r="H49" s="751"/>
      <c r="I49" s="178">
        <f>1+I10+I18+I26+I34+I42</f>
        <v>1.1174999999999997</v>
      </c>
    </row>
  </sheetData>
  <sheetProtection algorithmName="SHA-512" hashValue="1l7wNgYzW07Dd2whmOgVh/1gQvfhdoJJuNmLhgdIQzwguxswg/oclXMuf1Qo7jxYVgmmGxgCkXqq8ljOBXM1rg==" saltValue="ZpQEInEYMzA/8kDfZafavw==" spinCount="100000" sheet="1"/>
  <mergeCells count="54">
    <mergeCell ref="C2:G2"/>
    <mergeCell ref="B3:H4"/>
    <mergeCell ref="B6:H6"/>
    <mergeCell ref="B8:B14"/>
    <mergeCell ref="C8:H8"/>
    <mergeCell ref="C9:H9"/>
    <mergeCell ref="D10:G10"/>
    <mergeCell ref="H10:H14"/>
    <mergeCell ref="I10:I14"/>
    <mergeCell ref="D11:G11"/>
    <mergeCell ref="D12:G12"/>
    <mergeCell ref="D13:G13"/>
    <mergeCell ref="D14:G14"/>
    <mergeCell ref="B16:B22"/>
    <mergeCell ref="C16:H16"/>
    <mergeCell ref="C17:H17"/>
    <mergeCell ref="D18:G18"/>
    <mergeCell ref="H18:H22"/>
    <mergeCell ref="I18:I22"/>
    <mergeCell ref="D19:G19"/>
    <mergeCell ref="D20:G20"/>
    <mergeCell ref="D21:G21"/>
    <mergeCell ref="D22:G22"/>
    <mergeCell ref="B24:B30"/>
    <mergeCell ref="C24:H24"/>
    <mergeCell ref="C25:H25"/>
    <mergeCell ref="D26:G26"/>
    <mergeCell ref="H26:H30"/>
    <mergeCell ref="I26:I30"/>
    <mergeCell ref="D27:G27"/>
    <mergeCell ref="D28:G28"/>
    <mergeCell ref="D29:G29"/>
    <mergeCell ref="D30:G30"/>
    <mergeCell ref="B32:B38"/>
    <mergeCell ref="C32:H32"/>
    <mergeCell ref="C33:H33"/>
    <mergeCell ref="D34:G34"/>
    <mergeCell ref="H34:H38"/>
    <mergeCell ref="I34:I38"/>
    <mergeCell ref="D35:G35"/>
    <mergeCell ref="D36:G36"/>
    <mergeCell ref="D37:G37"/>
    <mergeCell ref="D38:G38"/>
    <mergeCell ref="B40:B46"/>
    <mergeCell ref="C40:H40"/>
    <mergeCell ref="C41:H41"/>
    <mergeCell ref="D42:G42"/>
    <mergeCell ref="H42:H46"/>
    <mergeCell ref="C49:H49"/>
    <mergeCell ref="I42:I46"/>
    <mergeCell ref="D43:G43"/>
    <mergeCell ref="D44:G44"/>
    <mergeCell ref="D45:G45"/>
    <mergeCell ref="D46:G46"/>
  </mergeCells>
  <dataValidations count="1">
    <dataValidation type="whole" allowBlank="1" showInputMessage="1" showErrorMessage="1" sqref="H10:H14 H18:H22 H26:H30 H34:H38 H42:H46" xr:uid="{00000000-0002-0000-0C00-000000000000}">
      <formula1>1</formula1>
      <formula2>5</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tabColor theme="8" tint="-0.499984740745262"/>
  </sheetPr>
  <dimension ref="B1:I49"/>
  <sheetViews>
    <sheetView showGridLines="0" showRowColHeaders="0" zoomScaleNormal="100" workbookViewId="0">
      <selection activeCell="C33" sqref="C33:H33"/>
    </sheetView>
  </sheetViews>
  <sheetFormatPr baseColWidth="10" defaultColWidth="9.140625" defaultRowHeight="12.75"/>
  <cols>
    <col min="1" max="1" width="2.42578125" customWidth="1"/>
    <col min="2" max="2" width="5.42578125" customWidth="1"/>
    <col min="3" max="3" width="3.85546875" customWidth="1"/>
    <col min="4" max="4" width="13.140625" style="1" customWidth="1"/>
    <col min="5" max="5" width="15.7109375" style="1" customWidth="1"/>
    <col min="6" max="6" width="12.7109375" style="1" customWidth="1"/>
    <col min="7" max="7" width="14" style="1" customWidth="1"/>
    <col min="8" max="8" width="13.42578125" customWidth="1"/>
    <col min="9" max="9" width="15.28515625" customWidth="1"/>
    <col min="10" max="10" width="3.42578125" customWidth="1"/>
    <col min="11" max="11" width="35.28515625" customWidth="1"/>
    <col min="12" max="1025" width="10.42578125" customWidth="1"/>
  </cols>
  <sheetData>
    <row r="1" spans="2:9" ht="15.75">
      <c r="B1" s="168"/>
      <c r="C1" s="168"/>
      <c r="D1" s="169"/>
      <c r="E1" s="169"/>
      <c r="F1" s="169"/>
      <c r="G1" s="169"/>
      <c r="H1" s="168"/>
      <c r="I1" s="168"/>
    </row>
    <row r="2" spans="2:9" ht="15.75">
      <c r="B2" s="168"/>
      <c r="C2" s="764" t="s">
        <v>911</v>
      </c>
      <c r="D2" s="764"/>
      <c r="E2" s="764"/>
      <c r="F2" s="764"/>
      <c r="G2" s="764"/>
      <c r="H2" s="189">
        <v>0.5</v>
      </c>
      <c r="I2" s="168"/>
    </row>
    <row r="3" spans="2:9" ht="15.75" customHeight="1">
      <c r="B3" s="765" t="s">
        <v>950</v>
      </c>
      <c r="C3" s="765"/>
      <c r="D3" s="765"/>
      <c r="E3" s="765"/>
      <c r="F3" s="765"/>
      <c r="G3" s="765"/>
      <c r="H3" s="765"/>
      <c r="I3" s="171"/>
    </row>
    <row r="4" spans="2:9" ht="14.45" customHeight="1">
      <c r="B4" s="765"/>
      <c r="C4" s="765"/>
      <c r="D4" s="765"/>
      <c r="E4" s="765"/>
      <c r="F4" s="765"/>
      <c r="G4" s="765"/>
      <c r="H4" s="765"/>
      <c r="I4" s="171"/>
    </row>
    <row r="5" spans="2:9" ht="14.45" customHeight="1">
      <c r="B5" s="171"/>
      <c r="C5" s="171"/>
      <c r="D5" s="171"/>
      <c r="E5" s="171"/>
      <c r="F5" s="171"/>
      <c r="G5" s="171"/>
      <c r="H5" s="171"/>
      <c r="I5" s="171"/>
    </row>
    <row r="6" spans="2:9" ht="23.85" customHeight="1">
      <c r="B6" s="773" t="s">
        <v>954</v>
      </c>
      <c r="C6" s="773"/>
      <c r="D6" s="773"/>
      <c r="E6" s="773"/>
      <c r="F6" s="773"/>
      <c r="G6" s="773"/>
      <c r="H6" s="773"/>
      <c r="I6" s="171"/>
    </row>
    <row r="7" spans="2:9" ht="15" customHeight="1">
      <c r="B7" s="171"/>
      <c r="C7" s="171"/>
      <c r="D7" s="171"/>
      <c r="E7" s="171"/>
      <c r="F7" s="171"/>
      <c r="G7" s="171"/>
      <c r="H7" s="171"/>
      <c r="I7" s="171"/>
    </row>
    <row r="8" spans="2:9" ht="15.75" customHeight="1">
      <c r="B8" s="755">
        <v>0.1</v>
      </c>
      <c r="C8" s="756" t="s">
        <v>914</v>
      </c>
      <c r="D8" s="756"/>
      <c r="E8" s="756"/>
      <c r="F8" s="756"/>
      <c r="G8" s="756"/>
      <c r="H8" s="756"/>
      <c r="I8" s="168"/>
    </row>
    <row r="9" spans="2:9" ht="36.950000000000003" customHeight="1">
      <c r="B9" s="755"/>
      <c r="C9" s="757" t="s">
        <v>915</v>
      </c>
      <c r="D9" s="757"/>
      <c r="E9" s="757"/>
      <c r="F9" s="757"/>
      <c r="G9" s="757"/>
      <c r="H9" s="757"/>
      <c r="I9" s="168"/>
    </row>
    <row r="10" spans="2:9" ht="16.5" customHeight="1">
      <c r="B10" s="755"/>
      <c r="C10" s="172">
        <v>1</v>
      </c>
      <c r="D10" s="760" t="s">
        <v>916</v>
      </c>
      <c r="E10" s="760"/>
      <c r="F10" s="760"/>
      <c r="G10" s="760"/>
      <c r="H10" s="769">
        <v>2</v>
      </c>
      <c r="I10" s="752">
        <f>IFERROR(VLOOKUP(H10,FACTORES!$M$4:$N$8,2,0)*B8*$H$2,"Introducir o revisar Valor en Columna H (Valor maximo permitido = 5)")</f>
        <v>1.2500000000000001E-2</v>
      </c>
    </row>
    <row r="11" spans="2:9" ht="15" customHeight="1">
      <c r="B11" s="755"/>
      <c r="C11" s="172">
        <v>2</v>
      </c>
      <c r="D11" s="762" t="s">
        <v>917</v>
      </c>
      <c r="E11" s="762"/>
      <c r="F11" s="762"/>
      <c r="G11" s="762"/>
      <c r="H11" s="769"/>
      <c r="I11" s="752"/>
    </row>
    <row r="12" spans="2:9" ht="15" customHeight="1">
      <c r="B12" s="755"/>
      <c r="C12" s="172">
        <v>3</v>
      </c>
      <c r="D12" s="762" t="s">
        <v>918</v>
      </c>
      <c r="E12" s="762"/>
      <c r="F12" s="762"/>
      <c r="G12" s="762"/>
      <c r="H12" s="769"/>
      <c r="I12" s="752"/>
    </row>
    <row r="13" spans="2:9" ht="15" customHeight="1">
      <c r="B13" s="755"/>
      <c r="C13" s="172">
        <v>4</v>
      </c>
      <c r="D13" s="762" t="s">
        <v>919</v>
      </c>
      <c r="E13" s="762"/>
      <c r="F13" s="762"/>
      <c r="G13" s="762"/>
      <c r="H13" s="769"/>
      <c r="I13" s="752"/>
    </row>
    <row r="14" spans="2:9" ht="16.5">
      <c r="B14" s="755"/>
      <c r="C14" s="172">
        <v>5</v>
      </c>
      <c r="D14" s="760" t="s">
        <v>920</v>
      </c>
      <c r="E14" s="760"/>
      <c r="F14" s="760"/>
      <c r="G14" s="760"/>
      <c r="H14" s="769"/>
      <c r="I14" s="752"/>
    </row>
    <row r="15" spans="2:9" ht="9.9499999999999993" customHeight="1"/>
    <row r="16" spans="2:9" ht="15.75" customHeight="1">
      <c r="B16" s="755">
        <v>0.2</v>
      </c>
      <c r="C16" s="756" t="s">
        <v>921</v>
      </c>
      <c r="D16" s="756"/>
      <c r="E16" s="756"/>
      <c r="F16" s="756"/>
      <c r="G16" s="756"/>
      <c r="H16" s="756"/>
      <c r="I16" s="175"/>
    </row>
    <row r="17" spans="2:9" ht="31.5" customHeight="1">
      <c r="B17" s="755"/>
      <c r="C17" s="757" t="s">
        <v>922</v>
      </c>
      <c r="D17" s="757"/>
      <c r="E17" s="757"/>
      <c r="F17" s="757"/>
      <c r="G17" s="757"/>
      <c r="H17" s="757"/>
      <c r="I17" s="175"/>
    </row>
    <row r="18" spans="2:9" ht="16.5" customHeight="1">
      <c r="B18" s="755"/>
      <c r="C18" s="176">
        <v>1</v>
      </c>
      <c r="D18" s="760" t="s">
        <v>923</v>
      </c>
      <c r="E18" s="760"/>
      <c r="F18" s="760"/>
      <c r="G18" s="760"/>
      <c r="H18" s="769">
        <v>2</v>
      </c>
      <c r="I18" s="752">
        <f>IFERROR(VLOOKUP(H18,FACTORES!$M$4:$N$8,2,0)*B16*$H$2,"Introducir o revisar Valor en Columna H (Valor maximo permitido = 5)")</f>
        <v>2.5000000000000001E-2</v>
      </c>
    </row>
    <row r="19" spans="2:9" ht="14.45" customHeight="1">
      <c r="B19" s="755"/>
      <c r="C19" s="176">
        <v>2</v>
      </c>
      <c r="D19" s="760" t="s">
        <v>924</v>
      </c>
      <c r="E19" s="760"/>
      <c r="F19" s="760"/>
      <c r="G19" s="760"/>
      <c r="H19" s="769"/>
      <c r="I19" s="752"/>
    </row>
    <row r="20" spans="2:9" ht="16.5">
      <c r="B20" s="755"/>
      <c r="C20" s="176">
        <v>3</v>
      </c>
      <c r="D20" s="760" t="s">
        <v>925</v>
      </c>
      <c r="E20" s="760"/>
      <c r="F20" s="760"/>
      <c r="G20" s="760"/>
      <c r="H20" s="769"/>
      <c r="I20" s="752"/>
    </row>
    <row r="21" spans="2:9" ht="15.6" customHeight="1">
      <c r="B21" s="755"/>
      <c r="C21" s="176">
        <v>4</v>
      </c>
      <c r="D21" s="760" t="s">
        <v>926</v>
      </c>
      <c r="E21" s="760"/>
      <c r="F21" s="760"/>
      <c r="G21" s="760"/>
      <c r="H21" s="769"/>
      <c r="I21" s="752"/>
    </row>
    <row r="22" spans="2:9" ht="15" customHeight="1">
      <c r="B22" s="755"/>
      <c r="C22" s="176">
        <v>5</v>
      </c>
      <c r="D22" s="762" t="s">
        <v>927</v>
      </c>
      <c r="E22" s="762"/>
      <c r="F22" s="762"/>
      <c r="G22" s="762"/>
      <c r="H22" s="769"/>
      <c r="I22" s="752"/>
    </row>
    <row r="23" spans="2:9" ht="9.9499999999999993" customHeight="1"/>
    <row r="24" spans="2:9" ht="15.75" customHeight="1">
      <c r="B24" s="755">
        <v>0.2</v>
      </c>
      <c r="C24" s="756" t="s">
        <v>928</v>
      </c>
      <c r="D24" s="756"/>
      <c r="E24" s="756"/>
      <c r="F24" s="756"/>
      <c r="G24" s="756"/>
      <c r="H24" s="756"/>
      <c r="I24" s="175"/>
    </row>
    <row r="25" spans="2:9" ht="41.1" customHeight="1">
      <c r="B25" s="755"/>
      <c r="C25" s="757" t="s">
        <v>929</v>
      </c>
      <c r="D25" s="757"/>
      <c r="E25" s="757"/>
      <c r="F25" s="757"/>
      <c r="G25" s="757"/>
      <c r="H25" s="757"/>
      <c r="I25" s="175"/>
    </row>
    <row r="26" spans="2:9" ht="16.5" customHeight="1">
      <c r="B26" s="755"/>
      <c r="C26" s="172">
        <v>1</v>
      </c>
      <c r="D26" s="760" t="s">
        <v>930</v>
      </c>
      <c r="E26" s="760"/>
      <c r="F26" s="760"/>
      <c r="G26" s="760"/>
      <c r="H26" s="769">
        <v>1</v>
      </c>
      <c r="I26" s="752">
        <f>IFERROR(VLOOKUP(H26,FACTORES!$M$4:$N$8,2,0)*B24*$H$2,"Introducir o revisar Valor en Columna H (Valor maximo permitido = 5)")</f>
        <v>1.0000000000000002E-2</v>
      </c>
    </row>
    <row r="27" spans="2:9" ht="16.5">
      <c r="B27" s="755"/>
      <c r="C27" s="172">
        <v>2</v>
      </c>
      <c r="D27" s="760" t="s">
        <v>931</v>
      </c>
      <c r="E27" s="760"/>
      <c r="F27" s="760"/>
      <c r="G27" s="760"/>
      <c r="H27" s="769"/>
      <c r="I27" s="752"/>
    </row>
    <row r="28" spans="2:9" ht="16.5">
      <c r="B28" s="755"/>
      <c r="C28" s="172">
        <v>3</v>
      </c>
      <c r="D28" s="760" t="s">
        <v>932</v>
      </c>
      <c r="E28" s="760"/>
      <c r="F28" s="760"/>
      <c r="G28" s="760"/>
      <c r="H28" s="769"/>
      <c r="I28" s="752"/>
    </row>
    <row r="29" spans="2:9" ht="16.5">
      <c r="B29" s="755"/>
      <c r="C29" s="172">
        <v>4</v>
      </c>
      <c r="D29" s="760" t="s">
        <v>933</v>
      </c>
      <c r="E29" s="760"/>
      <c r="F29" s="760"/>
      <c r="G29" s="760"/>
      <c r="H29" s="769"/>
      <c r="I29" s="752"/>
    </row>
    <row r="30" spans="2:9" ht="16.5">
      <c r="B30" s="755"/>
      <c r="C30" s="172">
        <v>5</v>
      </c>
      <c r="D30" s="761" t="s">
        <v>934</v>
      </c>
      <c r="E30" s="761"/>
      <c r="F30" s="761"/>
      <c r="G30" s="761"/>
      <c r="H30" s="769"/>
      <c r="I30" s="752"/>
    </row>
    <row r="31" spans="2:9" ht="9.9499999999999993" customHeight="1"/>
    <row r="32" spans="2:9" ht="15.75" customHeight="1">
      <c r="B32" s="755">
        <v>0.25</v>
      </c>
      <c r="C32" s="756" t="s">
        <v>935</v>
      </c>
      <c r="D32" s="756"/>
      <c r="E32" s="756"/>
      <c r="F32" s="756"/>
      <c r="G32" s="756"/>
      <c r="H32" s="756"/>
      <c r="I32" s="175"/>
    </row>
    <row r="33" spans="2:9" ht="25.5" customHeight="1">
      <c r="B33" s="755"/>
      <c r="C33" s="757" t="s">
        <v>936</v>
      </c>
      <c r="D33" s="757"/>
      <c r="E33" s="757"/>
      <c r="F33" s="757"/>
      <c r="G33" s="757"/>
      <c r="H33" s="757"/>
      <c r="I33" s="175"/>
    </row>
    <row r="34" spans="2:9" ht="15.75" customHeight="1">
      <c r="B34" s="755"/>
      <c r="C34" s="176">
        <v>1</v>
      </c>
      <c r="D34" s="753" t="s">
        <v>937</v>
      </c>
      <c r="E34" s="753"/>
      <c r="F34" s="753"/>
      <c r="G34" s="753"/>
      <c r="H34" s="769">
        <v>2</v>
      </c>
      <c r="I34" s="752">
        <f>IFERROR(VLOOKUP(H34,FACTORES!$M$4:$N$8,2,0)*B32*$H$2,"Introducir o revisar Valor en Columna H (Valor maximo permitido = 5)")</f>
        <v>3.125E-2</v>
      </c>
    </row>
    <row r="35" spans="2:9" ht="15.75">
      <c r="B35" s="755"/>
      <c r="C35" s="176">
        <v>2</v>
      </c>
      <c r="D35" s="753" t="s">
        <v>938</v>
      </c>
      <c r="E35" s="753"/>
      <c r="F35" s="753"/>
      <c r="G35" s="753"/>
      <c r="H35" s="769"/>
      <c r="I35" s="752"/>
    </row>
    <row r="36" spans="2:9" ht="15.75">
      <c r="B36" s="755"/>
      <c r="C36" s="176">
        <v>3</v>
      </c>
      <c r="D36" s="753" t="s">
        <v>939</v>
      </c>
      <c r="E36" s="753"/>
      <c r="F36" s="753"/>
      <c r="G36" s="753"/>
      <c r="H36" s="769"/>
      <c r="I36" s="752"/>
    </row>
    <row r="37" spans="2:9" ht="15.75">
      <c r="B37" s="755"/>
      <c r="C37" s="176">
        <v>4</v>
      </c>
      <c r="D37" s="753" t="s">
        <v>940</v>
      </c>
      <c r="E37" s="753"/>
      <c r="F37" s="753"/>
      <c r="G37" s="753"/>
      <c r="H37" s="769"/>
      <c r="I37" s="752"/>
    </row>
    <row r="38" spans="2:9" ht="15.6" customHeight="1">
      <c r="B38" s="755"/>
      <c r="C38" s="176">
        <v>5</v>
      </c>
      <c r="D38" s="759" t="s">
        <v>941</v>
      </c>
      <c r="E38" s="759"/>
      <c r="F38" s="759"/>
      <c r="G38" s="759"/>
      <c r="H38" s="769"/>
      <c r="I38" s="752"/>
    </row>
    <row r="39" spans="2:9" ht="15.75">
      <c r="B39" s="168"/>
      <c r="C39" s="168"/>
      <c r="D39" s="169"/>
      <c r="E39" s="169"/>
      <c r="F39" s="169"/>
      <c r="G39" s="169"/>
      <c r="H39" s="168"/>
      <c r="I39" s="168"/>
    </row>
    <row r="40" spans="2:9" ht="15.75">
      <c r="B40" s="755">
        <v>0.25</v>
      </c>
      <c r="C40" s="756" t="s">
        <v>942</v>
      </c>
      <c r="D40" s="756"/>
      <c r="E40" s="756"/>
      <c r="F40" s="756"/>
      <c r="G40" s="756"/>
      <c r="H40" s="756"/>
      <c r="I40" s="175"/>
    </row>
    <row r="41" spans="2:9" ht="24.95" customHeight="1">
      <c r="B41" s="755"/>
      <c r="C41" s="757" t="s">
        <v>943</v>
      </c>
      <c r="D41" s="757"/>
      <c r="E41" s="757"/>
      <c r="F41" s="757"/>
      <c r="G41" s="757"/>
      <c r="H41" s="757"/>
      <c r="I41" s="175"/>
    </row>
    <row r="42" spans="2:9" ht="15.75" customHeight="1">
      <c r="B42" s="755"/>
      <c r="C42" s="176">
        <v>1</v>
      </c>
      <c r="D42" s="753" t="s">
        <v>944</v>
      </c>
      <c r="E42" s="753"/>
      <c r="F42" s="753"/>
      <c r="G42" s="753"/>
      <c r="H42" s="769">
        <v>4</v>
      </c>
      <c r="I42" s="752">
        <f>IFERROR(VLOOKUP(H42,FACTORES!$M$4:$N$8,2,0)*B40*$H$2,"Introducir o revisar Valor en Columna H (Valor maximo permitido = 5)")</f>
        <v>9.375E-2</v>
      </c>
    </row>
    <row r="43" spans="2:9" ht="15.75">
      <c r="B43" s="755"/>
      <c r="C43" s="176">
        <v>2</v>
      </c>
      <c r="D43" s="753" t="s">
        <v>945</v>
      </c>
      <c r="E43" s="753"/>
      <c r="F43" s="753"/>
      <c r="G43" s="753"/>
      <c r="H43" s="769"/>
      <c r="I43" s="752"/>
    </row>
    <row r="44" spans="2:9" ht="15.75">
      <c r="B44" s="755"/>
      <c r="C44" s="176">
        <v>3</v>
      </c>
      <c r="D44" s="753" t="s">
        <v>946</v>
      </c>
      <c r="E44" s="753"/>
      <c r="F44" s="753"/>
      <c r="G44" s="753"/>
      <c r="H44" s="769"/>
      <c r="I44" s="752"/>
    </row>
    <row r="45" spans="2:9" ht="15.75">
      <c r="B45" s="755"/>
      <c r="C45" s="176">
        <v>4</v>
      </c>
      <c r="D45" s="753" t="s">
        <v>947</v>
      </c>
      <c r="E45" s="753"/>
      <c r="F45" s="753"/>
      <c r="G45" s="753"/>
      <c r="H45" s="769"/>
      <c r="I45" s="752"/>
    </row>
    <row r="46" spans="2:9" ht="15.6" customHeight="1">
      <c r="B46" s="755"/>
      <c r="C46" s="177">
        <v>5</v>
      </c>
      <c r="D46" s="754" t="s">
        <v>948</v>
      </c>
      <c r="E46" s="754"/>
      <c r="F46" s="754"/>
      <c r="G46" s="754"/>
      <c r="H46" s="769"/>
      <c r="I46" s="752"/>
    </row>
    <row r="49" spans="3:9" ht="15.75">
      <c r="C49" s="751" t="s">
        <v>949</v>
      </c>
      <c r="D49" s="751"/>
      <c r="E49" s="751"/>
      <c r="F49" s="751"/>
      <c r="G49" s="751"/>
      <c r="H49" s="751"/>
      <c r="I49" s="178">
        <f>1+I10+I18+I26+I34+I42</f>
        <v>1.1724999999999999</v>
      </c>
    </row>
  </sheetData>
  <sheetProtection algorithmName="SHA-512" hashValue="pq2D549ulRYDjriwyfd2yBnYc/Lp9uXGloQxp1IYGTTaF19O1mpW85KF0ILmzoooStur6FWIKxciEbDqqwCBSg==" saltValue="6AmcReDf9trzjh3OlFu/tw==" spinCount="100000" sheet="1"/>
  <mergeCells count="54">
    <mergeCell ref="C2:G2"/>
    <mergeCell ref="B3:H4"/>
    <mergeCell ref="B6:H6"/>
    <mergeCell ref="B8:B14"/>
    <mergeCell ref="C8:H8"/>
    <mergeCell ref="C9:H9"/>
    <mergeCell ref="D10:G10"/>
    <mergeCell ref="H10:H14"/>
    <mergeCell ref="I10:I14"/>
    <mergeCell ref="D11:G11"/>
    <mergeCell ref="D12:G12"/>
    <mergeCell ref="D13:G13"/>
    <mergeCell ref="D14:G14"/>
    <mergeCell ref="B16:B22"/>
    <mergeCell ref="C16:H16"/>
    <mergeCell ref="C17:H17"/>
    <mergeCell ref="D18:G18"/>
    <mergeCell ref="H18:H22"/>
    <mergeCell ref="I18:I22"/>
    <mergeCell ref="D19:G19"/>
    <mergeCell ref="D20:G20"/>
    <mergeCell ref="D21:G21"/>
    <mergeCell ref="D22:G22"/>
    <mergeCell ref="B24:B30"/>
    <mergeCell ref="C24:H24"/>
    <mergeCell ref="C25:H25"/>
    <mergeCell ref="D26:G26"/>
    <mergeCell ref="H26:H30"/>
    <mergeCell ref="I26:I30"/>
    <mergeCell ref="D27:G27"/>
    <mergeCell ref="D28:G28"/>
    <mergeCell ref="D29:G29"/>
    <mergeCell ref="D30:G30"/>
    <mergeCell ref="B32:B38"/>
    <mergeCell ref="C32:H32"/>
    <mergeCell ref="C33:H33"/>
    <mergeCell ref="D34:G34"/>
    <mergeCell ref="H34:H38"/>
    <mergeCell ref="I34:I38"/>
    <mergeCell ref="D35:G35"/>
    <mergeCell ref="D36:G36"/>
    <mergeCell ref="D37:G37"/>
    <mergeCell ref="D38:G38"/>
    <mergeCell ref="B40:B46"/>
    <mergeCell ref="C40:H40"/>
    <mergeCell ref="C41:H41"/>
    <mergeCell ref="D42:G42"/>
    <mergeCell ref="H42:H46"/>
    <mergeCell ref="C49:H49"/>
    <mergeCell ref="I42:I46"/>
    <mergeCell ref="D43:G43"/>
    <mergeCell ref="D44:G44"/>
    <mergeCell ref="D45:G45"/>
    <mergeCell ref="D46:G46"/>
  </mergeCells>
  <dataValidations count="1">
    <dataValidation type="whole" allowBlank="1" showInputMessage="1" showErrorMessage="1" sqref="H10:H14 H18:H22 H26:H30 H34:H38 H42:H46" xr:uid="{00000000-0002-0000-0D00-000000000000}">
      <formula1>1</formula1>
      <formula2>5</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tabColor theme="5" tint="0.79998168889431442"/>
  </sheetPr>
  <dimension ref="A1:Q28"/>
  <sheetViews>
    <sheetView showGridLines="0" showRowColHeaders="0" topLeftCell="G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1.28515625" style="122" customWidth="1"/>
    <col min="2" max="2" width="13.140625" style="122" customWidth="1"/>
    <col min="3" max="3" width="58.140625" customWidth="1"/>
    <col min="4" max="4" width="10.7109375" customWidth="1"/>
    <col min="5" max="5" width="14" customWidth="1"/>
    <col min="6" max="6" width="6.85546875" customWidth="1"/>
    <col min="7" max="7" width="13.42578125" customWidth="1"/>
    <col min="8" max="8" width="15" style="190" customWidth="1"/>
    <col min="9" max="9" width="15.7109375" style="190" customWidth="1"/>
    <col min="10" max="10" width="12.42578125" style="190" customWidth="1"/>
    <col min="11" max="11" width="10.7109375" customWidth="1"/>
    <col min="12" max="12" width="20.140625" customWidth="1"/>
    <col min="13" max="13" width="14.7109375" customWidth="1"/>
    <col min="14" max="15" width="17.42578125" customWidth="1"/>
    <col min="16" max="16" width="16.140625" customWidth="1"/>
    <col min="17" max="17" width="15.28515625" customWidth="1"/>
    <col min="18" max="1018" width="9.140625" customWidth="1"/>
    <col min="1019" max="1025" width="11.42578125"/>
  </cols>
  <sheetData>
    <row r="1" spans="1:17" ht="57" thickBot="1">
      <c r="A1" s="596" t="s">
        <v>955</v>
      </c>
      <c r="B1" s="597" t="s">
        <v>956</v>
      </c>
      <c r="C1" s="597" t="s">
        <v>957</v>
      </c>
      <c r="D1" s="597" t="s">
        <v>699</v>
      </c>
      <c r="E1" s="597" t="s">
        <v>700</v>
      </c>
      <c r="F1" s="597" t="s">
        <v>701</v>
      </c>
      <c r="G1" s="597" t="s">
        <v>673</v>
      </c>
      <c r="H1" s="598" t="s">
        <v>958</v>
      </c>
      <c r="I1" s="598" t="s">
        <v>959</v>
      </c>
      <c r="J1" s="598" t="s">
        <v>960</v>
      </c>
      <c r="K1" s="597" t="s">
        <v>706</v>
      </c>
      <c r="L1" s="477" t="s">
        <v>961</v>
      </c>
      <c r="M1" s="197" t="s">
        <v>962</v>
      </c>
      <c r="N1" s="598" t="s">
        <v>963</v>
      </c>
      <c r="O1" s="598" t="s">
        <v>960</v>
      </c>
    </row>
    <row r="2" spans="1:17" ht="13.5" thickBot="1">
      <c r="A2" s="607" t="str">
        <f>IF(VLOOKUP(C2,'BD  Materiales y equipos'!$B$3:$F$190,1,FALSE())=C2,"CORRECTO","NO LISTADO")</f>
        <v>CORRECTO</v>
      </c>
      <c r="B2" s="608" t="s">
        <v>411</v>
      </c>
      <c r="C2" s="608" t="s">
        <v>707</v>
      </c>
      <c r="D2" s="620" t="str">
        <f>VLOOKUP(C2,'BD  Materiales y equipos'!$B$3:$F$190,2,FALSE())</f>
        <v>Metro lineal</v>
      </c>
      <c r="E2" s="620">
        <f>VLOOKUP(C2,'BD  Materiales y equipos'!$B$3:$F$190,3,FALSE())</f>
        <v>20</v>
      </c>
      <c r="F2" s="620">
        <f>VLOOKUP(C2,'BD  Materiales y equipos'!$B$3:$F$190,4,FALSE())</f>
        <v>0</v>
      </c>
      <c r="G2" s="621">
        <v>1200</v>
      </c>
      <c r="H2" s="611">
        <f>VLOOKUP(C2,'BD  Materiales y equipos'!$B$3:$K$190,8,FALSE())*G2</f>
        <v>41755.767198306065</v>
      </c>
      <c r="I2" s="611">
        <f>N2*$H2*L2</f>
        <v>127797.51649101464</v>
      </c>
      <c r="J2" s="611">
        <f>N2*$H2*M2</f>
        <v>127797.51649101464</v>
      </c>
      <c r="K2" s="622" t="str">
        <f>VLOOKUP(C2,'BD  Materiales y equipos'!$B$3:$L$190,11,FALSE())</f>
        <v>IMPORTADO</v>
      </c>
      <c r="L2" s="436">
        <f t="shared" ref="L2:L28" si="0">+acero/acero_base</f>
        <v>1</v>
      </c>
      <c r="M2" s="421">
        <f t="shared" ref="M2:M28" si="1">(0.65*ipc/ipc_base*trm_base/trm+0.35*fac_mano_obra)</f>
        <v>1</v>
      </c>
      <c r="N2" s="611">
        <f>VLOOKUP(C2,'BD  Materiales y equipos'!$B$3:$K$190,9,FALSE())*0.811905633063426</f>
        <v>3.0605955791467077</v>
      </c>
      <c r="O2" s="611">
        <f>VLOOKUP(C2,'BD  Materiales y equipos'!$B$3:$K$190,10,FALSE())*1.14265904837007</f>
        <v>2.947839039044537</v>
      </c>
      <c r="P2" s="70"/>
      <c r="Q2" s="413"/>
    </row>
    <row r="3" spans="1:17" ht="13.5" thickBot="1">
      <c r="A3" s="584" t="str">
        <f>IF(VLOOKUP(C3,'BD  Materiales y equipos'!$B$3:$F$190,1,FALSE())=C3,"CORRECTO","NO LISTADO")</f>
        <v>CORRECTO</v>
      </c>
      <c r="B3" s="147" t="s">
        <v>411</v>
      </c>
      <c r="C3" s="147" t="s">
        <v>711</v>
      </c>
      <c r="D3" s="192" t="str">
        <f>VLOOKUP(C3,'BD  Materiales y equipos'!$B$3:$F$190,2,FALSE())</f>
        <v>Metro lineal</v>
      </c>
      <c r="E3" s="192">
        <f>VLOOKUP(C3,'BD  Materiales y equipos'!$B$3:$F$190,3,FALSE())</f>
        <v>30</v>
      </c>
      <c r="F3" s="192">
        <f>VLOOKUP(C3,'BD  Materiales y equipos'!$B$3:$F$190,4,FALSE())</f>
        <v>0</v>
      </c>
      <c r="G3" s="193">
        <v>300</v>
      </c>
      <c r="H3" s="194">
        <f>VLOOKUP(C3,'BD  Materiales y equipos'!$B$3:$K$190,8,FALSE())*G3</f>
        <v>8311.1412499991748</v>
      </c>
      <c r="I3" s="194">
        <f t="shared" ref="I3:I28" si="2">N3*$H3*L3</f>
        <v>19372.021730538447</v>
      </c>
      <c r="J3" s="194">
        <f t="shared" ref="J3:J28" si="3">N3*$H3*M3</f>
        <v>19372.021730538447</v>
      </c>
      <c r="K3" s="137" t="str">
        <f>VLOOKUP(C3,'BD  Materiales y equipos'!$B$3:$L$190,11,FALSE())</f>
        <v>IMPORTADO</v>
      </c>
      <c r="L3" s="436">
        <f t="shared" si="0"/>
        <v>1</v>
      </c>
      <c r="M3" s="421">
        <f t="shared" si="1"/>
        <v>1</v>
      </c>
      <c r="N3" s="194">
        <f>VLOOKUP(C3,'BD  Materiales y equipos'!$B$3:$K$190,9,FALSE())*0.811905633063426</f>
        <v>2.3308497771639209</v>
      </c>
      <c r="O3" s="194">
        <f>VLOOKUP(C3,'BD  Materiales y equipos'!$B$3:$K$190,10,FALSE())*1.14265904837007</f>
        <v>2.947839039044537</v>
      </c>
    </row>
    <row r="4" spans="1:17" ht="13.5" thickBot="1">
      <c r="A4" s="584" t="str">
        <f>IF(VLOOKUP(C4,'BD  Materiales y equipos'!$B$3:$F$190,1,FALSE())=C4,"CORRECTO","NO LISTADO")</f>
        <v>CORRECTO</v>
      </c>
      <c r="B4" s="147" t="s">
        <v>411</v>
      </c>
      <c r="C4" s="147" t="s">
        <v>712</v>
      </c>
      <c r="D4" s="192" t="str">
        <f>VLOOKUP(C4,'BD  Materiales y equipos'!$B$3:$F$190,2,FALSE())</f>
        <v>Metro lineal</v>
      </c>
      <c r="E4" s="192">
        <f>VLOOKUP(C4,'BD  Materiales y equipos'!$B$3:$F$190,3,FALSE())</f>
        <v>40</v>
      </c>
      <c r="F4" s="192">
        <f>VLOOKUP(C4,'BD  Materiales y equipos'!$B$3:$F$190,4,FALSE())</f>
        <v>0</v>
      </c>
      <c r="G4" s="193">
        <v>36</v>
      </c>
      <c r="H4" s="194">
        <f>VLOOKUP(C4,'BD  Materiales y equipos'!$B$3:$K$190,8,FALSE())*G4</f>
        <v>172.02591740792167</v>
      </c>
      <c r="I4" s="194">
        <f t="shared" si="2"/>
        <v>537.79045401196265</v>
      </c>
      <c r="J4" s="194">
        <f t="shared" si="3"/>
        <v>537.79045401196265</v>
      </c>
      <c r="K4" s="137" t="str">
        <f>VLOOKUP(C4,'BD  Materiales y equipos'!$B$3:$L$190,11,FALSE())</f>
        <v>IMPORTADO</v>
      </c>
      <c r="L4" s="436">
        <f t="shared" si="0"/>
        <v>1</v>
      </c>
      <c r="M4" s="421">
        <f t="shared" si="1"/>
        <v>1</v>
      </c>
      <c r="N4" s="194">
        <f>VLOOKUP(C4,'BD  Materiales y equipos'!$B$3:$K$190,9,FALSE())*0.811905633063426</f>
        <v>3.1262176195038727</v>
      </c>
      <c r="O4" s="194">
        <f>VLOOKUP(C4,'BD  Materiales y equipos'!$B$3:$K$190,10,FALSE())*1.14265904837007</f>
        <v>4.1501467612706255</v>
      </c>
    </row>
    <row r="5" spans="1:17" ht="13.5" thickBot="1">
      <c r="A5" s="584" t="str">
        <f>IF(VLOOKUP(C5,'BD  Materiales y equipos'!$B$3:$F$190,1,FALSE())=C5,"CORRECTO","NO LISTADO")</f>
        <v>CORRECTO</v>
      </c>
      <c r="B5" s="147" t="s">
        <v>411</v>
      </c>
      <c r="C5" s="147" t="s">
        <v>713</v>
      </c>
      <c r="D5" s="192" t="str">
        <f>VLOOKUP(C5,'BD  Materiales y equipos'!$B$3:$F$190,2,FALSE())</f>
        <v>Metro lineal</v>
      </c>
      <c r="E5" s="192">
        <f>VLOOKUP(C5,'BD  Materiales y equipos'!$B$3:$F$190,3,FALSE())</f>
        <v>40</v>
      </c>
      <c r="F5" s="192">
        <f>VLOOKUP(C5,'BD  Materiales y equipos'!$B$3:$F$190,4,FALSE())</f>
        <v>0</v>
      </c>
      <c r="G5" s="193">
        <v>36</v>
      </c>
      <c r="H5" s="194">
        <f>VLOOKUP(C5,'BD  Materiales y equipos'!$B$3:$K$190,8,FALSE())*G5</f>
        <v>58.221710679095118</v>
      </c>
      <c r="I5" s="194">
        <f t="shared" si="2"/>
        <v>138.78463329340985</v>
      </c>
      <c r="J5" s="194">
        <f t="shared" si="3"/>
        <v>138.78463329340985</v>
      </c>
      <c r="K5" s="137" t="str">
        <f>VLOOKUP(C5,'BD  Materiales y equipos'!$B$3:$L$190,11,FALSE())</f>
        <v>IMPORTADO</v>
      </c>
      <c r="L5" s="436">
        <f t="shared" si="0"/>
        <v>1</v>
      </c>
      <c r="M5" s="421">
        <f t="shared" si="1"/>
        <v>1</v>
      </c>
      <c r="N5" s="194">
        <f>VLOOKUP(C5,'BD  Materiales y equipos'!$B$3:$K$190,9,FALSE())*0.811905633063426</f>
        <v>2.383726477196098</v>
      </c>
      <c r="O5" s="194">
        <f>VLOOKUP(C5,'BD  Materiales y equipos'!$B$3:$K$190,10,FALSE())*1.14265904837007</f>
        <v>4.1501467612706255</v>
      </c>
    </row>
    <row r="6" spans="1:17" ht="13.5" thickBot="1">
      <c r="A6" s="584" t="str">
        <f>IF(VLOOKUP(C6,'BD  Materiales y equipos'!$B$3:$F$190,1,FALSE())=C6,"CORRECTO","NO LISTADO")</f>
        <v>CORRECTO</v>
      </c>
      <c r="B6" s="147" t="s">
        <v>411</v>
      </c>
      <c r="C6" s="147" t="s">
        <v>714</v>
      </c>
      <c r="D6" s="192" t="str">
        <f>VLOOKUP(C6,'BD  Materiales y equipos'!$B$3:$F$190,2,FALSE())</f>
        <v>Unidad</v>
      </c>
      <c r="E6" s="192" t="str">
        <f>VLOOKUP(C6,'BD  Materiales y equipos'!$B$3:$F$190,3,FALSE())</f>
        <v>STD</v>
      </c>
      <c r="F6" s="192">
        <f>VLOOKUP(C6,'BD  Materiales y equipos'!$B$3:$F$190,4,FALSE())</f>
        <v>0</v>
      </c>
      <c r="G6" s="193">
        <v>24</v>
      </c>
      <c r="H6" s="194">
        <f>VLOOKUP(C6,'BD  Materiales y equipos'!$B$3:$K$190,8,FALSE())*G6</f>
        <v>713.97433426533439</v>
      </c>
      <c r="I6" s="194">
        <f t="shared" si="2"/>
        <v>17243.990686706133</v>
      </c>
      <c r="J6" s="194">
        <f t="shared" si="3"/>
        <v>17243.990686706133</v>
      </c>
      <c r="K6" s="137" t="str">
        <f>VLOOKUP(C6,'BD  Materiales y equipos'!$B$3:$L$190,11,FALSE())</f>
        <v>IMPORTADO</v>
      </c>
      <c r="L6" s="436">
        <f t="shared" si="0"/>
        <v>1</v>
      </c>
      <c r="M6" s="421">
        <f t="shared" si="1"/>
        <v>1</v>
      </c>
      <c r="N6" s="194">
        <f>VLOOKUP(C6,'BD  Materiales y equipos'!$B$3:$K$190,9,FALSE())*0.811905633063426</f>
        <v>24.152115642153806</v>
      </c>
      <c r="O6" s="194">
        <f>VLOOKUP(C6,'BD  Materiales y equipos'!$B$3:$K$190,10,FALSE())*1.14265904837007</f>
        <v>10.282581340589662</v>
      </c>
    </row>
    <row r="7" spans="1:17" ht="13.5" thickBot="1">
      <c r="A7" s="584" t="str">
        <f>IF(VLOOKUP(C7,'BD  Materiales y equipos'!$B$3:$F$190,1,FALSE())=C7,"CORRECTO","NO LISTADO")</f>
        <v>CORRECTO</v>
      </c>
      <c r="B7" s="147" t="s">
        <v>411</v>
      </c>
      <c r="C7" s="147" t="s">
        <v>718</v>
      </c>
      <c r="D7" s="192" t="str">
        <f>VLOOKUP(C7,'BD  Materiales y equipos'!$B$3:$F$190,2,FALSE())</f>
        <v>Unidad</v>
      </c>
      <c r="E7" s="192" t="str">
        <f>VLOOKUP(C7,'BD  Materiales y equipos'!$B$3:$F$190,3,FALSE())</f>
        <v>STD</v>
      </c>
      <c r="F7" s="192">
        <f>VLOOKUP(C7,'BD  Materiales y equipos'!$B$3:$F$190,4,FALSE())</f>
        <v>0</v>
      </c>
      <c r="G7" s="193">
        <v>4</v>
      </c>
      <c r="H7" s="194">
        <f>VLOOKUP(C7,'BD  Materiales y equipos'!$B$3:$K$190,8,FALSE())*G7</f>
        <v>73.228136847726603</v>
      </c>
      <c r="I7" s="194">
        <f t="shared" si="2"/>
        <v>2288.0188849899641</v>
      </c>
      <c r="J7" s="194">
        <f t="shared" si="3"/>
        <v>2288.0188849899641</v>
      </c>
      <c r="K7" s="137" t="str">
        <f>VLOOKUP(C7,'BD  Materiales y equipos'!$B$3:$L$190,11,FALSE())</f>
        <v>IMPORTADO</v>
      </c>
      <c r="L7" s="436">
        <f t="shared" si="0"/>
        <v>1</v>
      </c>
      <c r="M7" s="421">
        <f t="shared" si="1"/>
        <v>1</v>
      </c>
      <c r="N7" s="194">
        <f>VLOOKUP(C7,'BD  Materiales y equipos'!$B$3:$K$190,9,FALSE())*0.811905633063426</f>
        <v>31.245078510569762</v>
      </c>
      <c r="O7" s="194">
        <f>VLOOKUP(C7,'BD  Materiales y equipos'!$B$3:$K$190,10,FALSE())*1.14265904837007</f>
        <v>10.282581340589662</v>
      </c>
    </row>
    <row r="8" spans="1:17" ht="13.5" thickBot="1">
      <c r="A8" s="584" t="str">
        <f>IF(VLOOKUP(C8,'BD  Materiales y equipos'!$B$3:$F$190,1,FALSE())=C8,"CORRECTO","NO LISTADO")</f>
        <v>CORRECTO</v>
      </c>
      <c r="B8" s="147" t="s">
        <v>411</v>
      </c>
      <c r="C8" s="147" t="s">
        <v>719</v>
      </c>
      <c r="D8" s="192" t="str">
        <f>VLOOKUP(C8,'BD  Materiales y equipos'!$B$3:$F$190,2,FALSE())</f>
        <v>Unidad</v>
      </c>
      <c r="E8" s="192" t="str">
        <f>VLOOKUP(C8,'BD  Materiales y equipos'!$B$3:$F$190,3,FALSE())</f>
        <v>STD</v>
      </c>
      <c r="F8" s="192">
        <f>VLOOKUP(C8,'BD  Materiales y equipos'!$B$3:$F$190,4,FALSE())</f>
        <v>0</v>
      </c>
      <c r="G8" s="193">
        <v>12</v>
      </c>
      <c r="H8" s="194">
        <f>VLOOKUP(C8,'BD  Materiales y equipos'!$B$3:$K$190,8,FALSE())*G8</f>
        <v>9.6919592886696968</v>
      </c>
      <c r="I8" s="194">
        <f t="shared" si="2"/>
        <v>1182.5607295209261</v>
      </c>
      <c r="J8" s="194">
        <f t="shared" si="3"/>
        <v>1182.5607295209261</v>
      </c>
      <c r="K8" s="137" t="str">
        <f>VLOOKUP(C8,'BD  Materiales y equipos'!$B$3:$L$190,11,FALSE())</f>
        <v>IMPORTADO</v>
      </c>
      <c r="L8" s="436">
        <f t="shared" si="0"/>
        <v>1</v>
      </c>
      <c r="M8" s="421">
        <f t="shared" si="1"/>
        <v>1</v>
      </c>
      <c r="N8" s="194">
        <f>VLOOKUP(C8,'BD  Materiales y equipos'!$B$3:$K$190,9,FALSE())*0.811905633063426</f>
        <v>122.01461998539229</v>
      </c>
      <c r="O8" s="194">
        <f>VLOOKUP(C8,'BD  Materiales y equipos'!$B$3:$K$190,10,FALSE())*1.14265904837007</f>
        <v>19.961050593240525</v>
      </c>
    </row>
    <row r="9" spans="1:17" ht="13.5" thickBot="1">
      <c r="A9" s="584" t="str">
        <f>IF(VLOOKUP(C9,'BD  Materiales y equipos'!$B$3:$F$190,1,FALSE())=C9,"CORRECTO","NO LISTADO")</f>
        <v>CORRECTO</v>
      </c>
      <c r="B9" s="147" t="s">
        <v>411</v>
      </c>
      <c r="C9" s="147" t="s">
        <v>720</v>
      </c>
      <c r="D9" s="192" t="str">
        <f>VLOOKUP(C9,'BD  Materiales y equipos'!$B$3:$F$190,2,FALSE())</f>
        <v>Unidad</v>
      </c>
      <c r="E9" s="192" t="str">
        <f>VLOOKUP(C9,'BD  Materiales y equipos'!$B$3:$F$190,3,FALSE())</f>
        <v>STD</v>
      </c>
      <c r="F9" s="192">
        <f>VLOOKUP(C9,'BD  Materiales y equipos'!$B$3:$F$190,4,FALSE())</f>
        <v>0</v>
      </c>
      <c r="G9" s="193">
        <v>18</v>
      </c>
      <c r="H9" s="194">
        <f>VLOOKUP(C9,'BD  Materiales y equipos'!$B$3:$K$190,8,FALSE())*G9</f>
        <v>2.4229898221674246</v>
      </c>
      <c r="I9" s="194">
        <f t="shared" si="2"/>
        <v>598.508731077829</v>
      </c>
      <c r="J9" s="194">
        <f t="shared" si="3"/>
        <v>598.508731077829</v>
      </c>
      <c r="K9" s="137" t="str">
        <f>VLOOKUP(C9,'BD  Materiales y equipos'!$B$3:$L$190,11,FALSE())</f>
        <v>IMPORTADO</v>
      </c>
      <c r="L9" s="436">
        <f t="shared" si="0"/>
        <v>1</v>
      </c>
      <c r="M9" s="421">
        <f t="shared" si="1"/>
        <v>1</v>
      </c>
      <c r="N9" s="194">
        <f>VLOOKUP(C9,'BD  Materiales y equipos'!$B$3:$K$190,9,FALSE())*0.811905633063426</f>
        <v>247.01248251321505</v>
      </c>
      <c r="O9" s="194">
        <f>VLOOKUP(C9,'BD  Materiales y equipos'!$B$3:$K$190,10,FALSE())*1.14265904837007</f>
        <v>49.840290424585348</v>
      </c>
    </row>
    <row r="10" spans="1:17" ht="13.5" thickBot="1">
      <c r="A10" s="584" t="str">
        <f>IF(VLOOKUP(C10,'BD  Materiales y equipos'!$B$3:$F$190,1,FALSE())=C10,"CORRECTO","NO LISTADO")</f>
        <v>CORRECTO</v>
      </c>
      <c r="B10" s="147" t="s">
        <v>411</v>
      </c>
      <c r="C10" s="147" t="s">
        <v>721</v>
      </c>
      <c r="D10" s="192" t="str">
        <f>VLOOKUP(C10,'BD  Materiales y equipos'!$B$3:$F$190,2,FALSE())</f>
        <v>Unidad</v>
      </c>
      <c r="E10" s="192">
        <f>VLOOKUP(C10,'BD  Materiales y equipos'!$B$3:$F$190,3,FALSE())</f>
        <v>0</v>
      </c>
      <c r="F10" s="192" t="str">
        <f>VLOOKUP(C10,'BD  Materiales y equipos'!$B$3:$F$190,4,FALSE())</f>
        <v>150#</v>
      </c>
      <c r="G10" s="193">
        <v>28</v>
      </c>
      <c r="H10" s="194">
        <f>VLOOKUP(C10,'BD  Materiales y equipos'!$B$3:$K$190,8,FALSE())*G10</f>
        <v>708.58991243829564</v>
      </c>
      <c r="I10" s="194">
        <f t="shared" si="2"/>
        <v>12703.612857225196</v>
      </c>
      <c r="J10" s="194">
        <f t="shared" si="3"/>
        <v>12703.612857225196</v>
      </c>
      <c r="K10" s="137" t="str">
        <f>VLOOKUP(C10,'BD  Materiales y equipos'!$B$3:$L$190,11,FALSE())</f>
        <v>IMPORTADO</v>
      </c>
      <c r="L10" s="436">
        <f t="shared" si="0"/>
        <v>1</v>
      </c>
      <c r="M10" s="421">
        <f t="shared" si="1"/>
        <v>1</v>
      </c>
      <c r="N10" s="194">
        <f>VLOOKUP(C10,'BD  Materiales y equipos'!$B$3:$K$190,9,FALSE())*0.811905633063426</f>
        <v>17.928018215093392</v>
      </c>
      <c r="O10" s="194">
        <f>VLOOKUP(C10,'BD  Materiales y equipos'!$B$3:$K$190,10,FALSE())*1.14265904837007</f>
        <v>6.3312169483453475</v>
      </c>
    </row>
    <row r="11" spans="1:17" ht="13.5" thickBot="1">
      <c r="A11" s="584" t="str">
        <f>IF(VLOOKUP(C11,'BD  Materiales y equipos'!$B$3:$F$190,1,FALSE())=C11,"CORRECTO","NO LISTADO")</f>
        <v>CORRECTO</v>
      </c>
      <c r="B11" s="147" t="s">
        <v>411</v>
      </c>
      <c r="C11" s="147" t="s">
        <v>723</v>
      </c>
      <c r="D11" s="192" t="str">
        <f>VLOOKUP(C11,'BD  Materiales y equipos'!$B$3:$F$190,2,FALSE())</f>
        <v>Unidad</v>
      </c>
      <c r="E11" s="192">
        <f>VLOOKUP(C11,'BD  Materiales y equipos'!$B$3:$F$190,3,FALSE())</f>
        <v>0</v>
      </c>
      <c r="F11" s="192" t="str">
        <f>VLOOKUP(C11,'BD  Materiales y equipos'!$B$3:$F$190,4,FALSE())</f>
        <v>150#</v>
      </c>
      <c r="G11" s="193">
        <v>8</v>
      </c>
      <c r="H11" s="194">
        <f>VLOOKUP(C11,'BD  Materiales y equipos'!$B$3:$K$190,8,FALSE())*G11</f>
        <v>151.84069552249193</v>
      </c>
      <c r="I11" s="194">
        <f t="shared" si="2"/>
        <v>2889.4189625947301</v>
      </c>
      <c r="J11" s="194">
        <f t="shared" si="3"/>
        <v>2889.4189625947301</v>
      </c>
      <c r="K11" s="137" t="str">
        <f>VLOOKUP(C11,'BD  Materiales y equipos'!$B$3:$L$190,11,FALSE())</f>
        <v>IMPORTADO</v>
      </c>
      <c r="L11" s="436">
        <f t="shared" si="0"/>
        <v>1</v>
      </c>
      <c r="M11" s="421">
        <f t="shared" si="1"/>
        <v>1</v>
      </c>
      <c r="N11" s="194">
        <f>VLOOKUP(C11,'BD  Materiales y equipos'!$B$3:$K$190,9,FALSE())*0.811905633063426</f>
        <v>19.029279025969196</v>
      </c>
      <c r="O11" s="194">
        <f>VLOOKUP(C11,'BD  Materiales y equipos'!$B$3:$K$190,10,FALSE())*1.14265904837007</f>
        <v>7.9708822913275483</v>
      </c>
    </row>
    <row r="12" spans="1:17" ht="13.5" thickBot="1">
      <c r="A12" s="584" t="str">
        <f>IF(VLOOKUP(C12,'BD  Materiales y equipos'!$B$3:$F$190,1,FALSE())=C12,"CORRECTO","NO LISTADO")</f>
        <v>CORRECTO</v>
      </c>
      <c r="B12" s="147" t="s">
        <v>411</v>
      </c>
      <c r="C12" s="147" t="s">
        <v>724</v>
      </c>
      <c r="D12" s="192" t="str">
        <f>VLOOKUP(C12,'BD  Materiales y equipos'!$B$3:$F$190,2,FALSE())</f>
        <v>Unidad</v>
      </c>
      <c r="E12" s="192">
        <f>VLOOKUP(C12,'BD  Materiales y equipos'!$B$3:$F$190,3,FALSE())</f>
        <v>0</v>
      </c>
      <c r="F12" s="192" t="str">
        <f>VLOOKUP(C12,'BD  Materiales y equipos'!$B$3:$F$190,4,FALSE())</f>
        <v>150#</v>
      </c>
      <c r="G12" s="193">
        <v>12</v>
      </c>
      <c r="H12" s="194">
        <f>VLOOKUP(C12,'BD  Materiales y equipos'!$B$3:$K$190,8,FALSE())*G12</f>
        <v>25.845224769785862</v>
      </c>
      <c r="I12" s="194">
        <f t="shared" si="2"/>
        <v>745.96740395207667</v>
      </c>
      <c r="J12" s="194">
        <f t="shared" si="3"/>
        <v>745.96740395207667</v>
      </c>
      <c r="K12" s="137" t="str">
        <f>VLOOKUP(C12,'BD  Materiales y equipos'!$B$3:$L$190,11,FALSE())</f>
        <v>IMPORTADO</v>
      </c>
      <c r="L12" s="436">
        <f t="shared" si="0"/>
        <v>1</v>
      </c>
      <c r="M12" s="421">
        <f t="shared" si="1"/>
        <v>1</v>
      </c>
      <c r="N12" s="194">
        <f>VLOOKUP(C12,'BD  Materiales y equipos'!$B$3:$K$190,9,FALSE())*0.811905633063426</f>
        <v>28.862871598011537</v>
      </c>
      <c r="O12" s="194">
        <f>VLOOKUP(C12,'BD  Materiales y equipos'!$B$3:$K$190,10,FALSE())*1.14265904837007</f>
        <v>23.579107576544587</v>
      </c>
    </row>
    <row r="13" spans="1:17" ht="13.5" thickBot="1">
      <c r="A13" s="584" t="str">
        <f>IF(VLOOKUP(C13,'BD  Materiales y equipos'!$B$3:$F$190,1,FALSE())=C13,"CORRECTO","NO LISTADO")</f>
        <v>CORRECTO</v>
      </c>
      <c r="B13" s="147" t="s">
        <v>411</v>
      </c>
      <c r="C13" s="147" t="s">
        <v>725</v>
      </c>
      <c r="D13" s="192" t="str">
        <f>VLOOKUP(C13,'BD  Materiales y equipos'!$B$3:$F$190,2,FALSE())</f>
        <v>Unidad</v>
      </c>
      <c r="E13" s="192">
        <f>VLOOKUP(C13,'BD  Materiales y equipos'!$B$3:$F$190,3,FALSE())</f>
        <v>0</v>
      </c>
      <c r="F13" s="192" t="str">
        <f>VLOOKUP(C13,'BD  Materiales y equipos'!$B$3:$F$190,4,FALSE())</f>
        <v>150#</v>
      </c>
      <c r="G13" s="193">
        <v>16</v>
      </c>
      <c r="H13" s="194">
        <f>VLOOKUP(C13,'BD  Materiales y equipos'!$B$3:$K$190,8,FALSE())*G13</f>
        <v>13.999496750300674</v>
      </c>
      <c r="I13" s="194">
        <f t="shared" si="2"/>
        <v>462.61544431136502</v>
      </c>
      <c r="J13" s="194">
        <f t="shared" si="3"/>
        <v>462.61544431136502</v>
      </c>
      <c r="K13" s="137" t="str">
        <f>VLOOKUP(C13,'BD  Materiales y equipos'!$B$3:$L$190,11,FALSE())</f>
        <v>IMPORTADO</v>
      </c>
      <c r="L13" s="436">
        <f t="shared" si="0"/>
        <v>1</v>
      </c>
      <c r="M13" s="421">
        <f t="shared" si="1"/>
        <v>1</v>
      </c>
      <c r="N13" s="194">
        <f>VLOOKUP(C13,'BD  Materiales y equipos'!$B$3:$K$190,9,FALSE())*0.811905633063426</f>
        <v>33.045148162302993</v>
      </c>
      <c r="O13" s="194">
        <f>VLOOKUP(C13,'BD  Materiales y equipos'!$B$3:$K$190,10,FALSE())*1.14265904837007</f>
        <v>42.253760777167891</v>
      </c>
    </row>
    <row r="14" spans="1:17" ht="13.5" thickBot="1">
      <c r="A14" s="584" t="str">
        <f>IF(VLOOKUP(C14,'BD  Materiales y equipos'!$B$3:$F$190,1,FALSE())=C14,"CORRECTO","NO LISTADO")</f>
        <v>CORRECTO</v>
      </c>
      <c r="B14" s="147" t="s">
        <v>411</v>
      </c>
      <c r="C14" s="147" t="s">
        <v>726</v>
      </c>
      <c r="D14" s="192" t="str">
        <f>VLOOKUP(C14,'BD  Materiales y equipos'!$B$3:$F$190,2,FALSE())</f>
        <v>Unidad</v>
      </c>
      <c r="E14" s="192">
        <f>VLOOKUP(C14,'BD  Materiales y equipos'!$B$3:$F$190,3,FALSE())</f>
        <v>0</v>
      </c>
      <c r="F14" s="192" t="str">
        <f>VLOOKUP(C14,'BD  Materiales y equipos'!$B$3:$F$190,4,FALSE())</f>
        <v>150#</v>
      </c>
      <c r="G14" s="193">
        <v>4</v>
      </c>
      <c r="H14" s="194">
        <f>VLOOKUP(C14,'BD  Materiales y equipos'!$B$3:$K$190,8,FALSE())*G14</f>
        <v>148.61004242626871</v>
      </c>
      <c r="I14" s="194">
        <f t="shared" si="2"/>
        <v>2013.34096493009</v>
      </c>
      <c r="J14" s="194">
        <f t="shared" si="3"/>
        <v>2013.34096493009</v>
      </c>
      <c r="K14" s="137" t="str">
        <f>VLOOKUP(C14,'BD  Materiales y equipos'!$B$3:$L$190,11,FALSE())</f>
        <v>IMPORTADO</v>
      </c>
      <c r="L14" s="436">
        <f t="shared" si="0"/>
        <v>1</v>
      </c>
      <c r="M14" s="421">
        <f t="shared" si="1"/>
        <v>1</v>
      </c>
      <c r="N14" s="194">
        <f>VLOOKUP(C14,'BD  Materiales y equipos'!$B$3:$K$190,9,FALSE())*0.811905633063426</f>
        <v>13.547812328557727</v>
      </c>
      <c r="O14" s="194">
        <f>VLOOKUP(C14,'BD  Materiales y equipos'!$B$3:$K$190,10,FALSE())*1.14265904837007</f>
        <v>11.655722127005006</v>
      </c>
    </row>
    <row r="15" spans="1:17" ht="13.5" thickBot="1">
      <c r="A15" s="584" t="str">
        <f>IF(VLOOKUP(C15,'BD  Materiales y equipos'!$B$3:$F$190,1,FALSE())=C15,"CORRECTO","NO LISTADO")</f>
        <v>CORRECTO</v>
      </c>
      <c r="B15" s="147" t="s">
        <v>411</v>
      </c>
      <c r="C15" s="147" t="s">
        <v>727</v>
      </c>
      <c r="D15" s="192" t="str">
        <f>VLOOKUP(C15,'BD  Materiales y equipos'!$B$3:$F$190,2,FALSE())</f>
        <v>Unidad</v>
      </c>
      <c r="E15" s="192">
        <f>VLOOKUP(C15,'BD  Materiales y equipos'!$B$3:$F$190,3,FALSE())</f>
        <v>0</v>
      </c>
      <c r="F15" s="192" t="str">
        <f>VLOOKUP(C15,'BD  Materiales y equipos'!$B$3:$F$190,4,FALSE())</f>
        <v>150#</v>
      </c>
      <c r="G15" s="193">
        <v>2</v>
      </c>
      <c r="H15" s="194">
        <f>VLOOKUP(C15,'BD  Materiales y equipos'!$B$3:$K$190,8,FALSE())*G15</f>
        <v>47.652133169292682</v>
      </c>
      <c r="I15" s="194">
        <f t="shared" si="2"/>
        <v>813.43215624748518</v>
      </c>
      <c r="J15" s="194">
        <f t="shared" si="3"/>
        <v>813.43215624748518</v>
      </c>
      <c r="K15" s="137" t="str">
        <f>VLOOKUP(C15,'BD  Materiales y equipos'!$B$3:$L$190,11,FALSE())</f>
        <v>IMPORTADO</v>
      </c>
      <c r="L15" s="436">
        <f t="shared" si="0"/>
        <v>1</v>
      </c>
      <c r="M15" s="421">
        <f t="shared" si="1"/>
        <v>1</v>
      </c>
      <c r="N15" s="194">
        <f>VLOOKUP(C15,'BD  Materiales y equipos'!$B$3:$K$190,9,FALSE())*0.811905633063426</f>
        <v>17.070214954651089</v>
      </c>
      <c r="O15" s="194">
        <f>VLOOKUP(C15,'BD  Materiales y equipos'!$B$3:$K$190,10,FALSE())*1.14265904837007</f>
        <v>14.244709271453182</v>
      </c>
    </row>
    <row r="16" spans="1:17" ht="13.5" thickBot="1">
      <c r="A16" s="584" t="str">
        <f>IF(VLOOKUP(C16,'BD  Materiales y equipos'!$B$3:$F$190,1,FALSE())=C16,"CORRECTO","NO LISTADO")</f>
        <v>CORRECTO</v>
      </c>
      <c r="B16" s="147" t="s">
        <v>411</v>
      </c>
      <c r="C16" s="147" t="s">
        <v>728</v>
      </c>
      <c r="D16" s="192" t="str">
        <f>VLOOKUP(C16,'BD  Materiales y equipos'!$B$3:$F$190,2,FALSE())</f>
        <v>Unidad</v>
      </c>
      <c r="E16" s="192" t="str">
        <f>VLOOKUP(C16,'BD  Materiales y equipos'!$B$3:$F$190,3,FALSE())</f>
        <v>STD</v>
      </c>
      <c r="F16" s="192">
        <f>VLOOKUP(C16,'BD  Materiales y equipos'!$B$3:$F$190,4,FALSE())</f>
        <v>0</v>
      </c>
      <c r="G16" s="193">
        <v>6</v>
      </c>
      <c r="H16" s="194">
        <f>VLOOKUP(C16,'BD  Materiales y equipos'!$B$3:$K$190,8,FALSE())*G16</f>
        <v>298.02774812659322</v>
      </c>
      <c r="I16" s="194">
        <f t="shared" si="2"/>
        <v>3885.9697322154693</v>
      </c>
      <c r="J16" s="194">
        <f t="shared" si="3"/>
        <v>3885.9697322154693</v>
      </c>
      <c r="K16" s="137" t="str">
        <f>VLOOKUP(C16,'BD  Materiales y equipos'!$B$3:$L$190,11,FALSE())</f>
        <v>IMPORTADO</v>
      </c>
      <c r="L16" s="436">
        <f t="shared" si="0"/>
        <v>1</v>
      </c>
      <c r="M16" s="421">
        <f t="shared" si="1"/>
        <v>1</v>
      </c>
      <c r="N16" s="194">
        <f>VLOOKUP(C16,'BD  Materiales y equipos'!$B$3:$K$190,9,FALSE())*0.811905633063426</f>
        <v>13.038952770816582</v>
      </c>
      <c r="O16" s="194">
        <f>VLOOKUP(C16,'BD  Materiales y equipos'!$B$3:$K$190,10,FALSE())*1.14265904837007</f>
        <v>10.212136713673821</v>
      </c>
    </row>
    <row r="17" spans="1:15" ht="13.5" thickBot="1">
      <c r="A17" s="584" t="str">
        <f>IF(VLOOKUP(C17,'BD  Materiales y equipos'!$B$3:$F$190,1,FALSE())=C17,"CORRECTO","NO LISTADO")</f>
        <v>CORRECTO</v>
      </c>
      <c r="B17" s="147" t="s">
        <v>411</v>
      </c>
      <c r="C17" s="147" t="s">
        <v>729</v>
      </c>
      <c r="D17" s="192" t="str">
        <f>VLOOKUP(C17,'BD  Materiales y equipos'!$B$3:$F$190,2,FALSE())</f>
        <v>Unidad</v>
      </c>
      <c r="E17" s="192" t="str">
        <f>VLOOKUP(C17,'BD  Materiales y equipos'!$B$3:$F$190,3,FALSE())</f>
        <v>STD</v>
      </c>
      <c r="F17" s="192">
        <f>VLOOKUP(C17,'BD  Materiales y equipos'!$B$3:$F$190,4,FALSE())</f>
        <v>0</v>
      </c>
      <c r="G17" s="193">
        <v>2</v>
      </c>
      <c r="H17" s="194">
        <f>VLOOKUP(C17,'BD  Materiales y equipos'!$B$3:$K$190,8,FALSE())*G17</f>
        <v>53.844218270387209</v>
      </c>
      <c r="I17" s="194">
        <f t="shared" si="2"/>
        <v>900.65444314368926</v>
      </c>
      <c r="J17" s="194">
        <f t="shared" si="3"/>
        <v>900.65444314368926</v>
      </c>
      <c r="K17" s="137" t="str">
        <f>VLOOKUP(C17,'BD  Materiales y equipos'!$B$3:$L$190,11,FALSE())</f>
        <v>IMPORTADO</v>
      </c>
      <c r="L17" s="436">
        <f t="shared" si="0"/>
        <v>1</v>
      </c>
      <c r="M17" s="421">
        <f t="shared" si="1"/>
        <v>1</v>
      </c>
      <c r="N17" s="194">
        <f>VLOOKUP(C17,'BD  Materiales y equipos'!$B$3:$K$190,9,FALSE())*0.811905633063426</f>
        <v>16.727040935405753</v>
      </c>
      <c r="O17" s="194">
        <f>VLOOKUP(C17,'BD  Materiales y equipos'!$B$3:$K$190,10,FALSE())*1.14265904837007</f>
        <v>11.029107650767727</v>
      </c>
    </row>
    <row r="18" spans="1:15" ht="13.5" thickBot="1">
      <c r="A18" s="584" t="str">
        <f>IF(VLOOKUP(C18,'BD  Materiales y equipos'!$B$3:$F$190,1,FALSE())=C18,"CORRECTO","NO LISTADO")</f>
        <v>CORRECTO</v>
      </c>
      <c r="B18" s="147" t="s">
        <v>411</v>
      </c>
      <c r="C18" s="147" t="s">
        <v>730</v>
      </c>
      <c r="D18" s="192" t="str">
        <f>VLOOKUP(C18,'BD  Materiales y equipos'!$B$3:$F$190,2,FALSE())</f>
        <v>Unidad</v>
      </c>
      <c r="E18" s="192" t="str">
        <f>VLOOKUP(C18,'BD  Materiales y equipos'!$B$3:$F$190,3,FALSE())</f>
        <v>STD</v>
      </c>
      <c r="F18" s="192">
        <f>VLOOKUP(C18,'BD  Materiales y equipos'!$B$3:$F$190,4,FALSE())</f>
        <v>0</v>
      </c>
      <c r="G18" s="193">
        <v>3</v>
      </c>
      <c r="H18" s="194">
        <f>VLOOKUP(C18,'BD  Materiales y equipos'!$B$3:$K$190,8,FALSE())*G18</f>
        <v>144.16789441896174</v>
      </c>
      <c r="I18" s="194">
        <f t="shared" si="2"/>
        <v>1564.0442198836745</v>
      </c>
      <c r="J18" s="194">
        <f t="shared" si="3"/>
        <v>1564.0442198836745</v>
      </c>
      <c r="K18" s="137" t="str">
        <f>VLOOKUP(C18,'BD  Materiales y equipos'!$B$3:$L$190,11,FALSE())</f>
        <v>IMPORTADO</v>
      </c>
      <c r="L18" s="436">
        <f t="shared" si="0"/>
        <v>1</v>
      </c>
      <c r="M18" s="421">
        <f t="shared" si="1"/>
        <v>1</v>
      </c>
      <c r="N18" s="194">
        <f>VLOOKUP(C18,'BD  Materiales y equipos'!$B$3:$K$190,9,FALSE())*0.811905633063426</f>
        <v>10.848769250513261</v>
      </c>
      <c r="O18" s="194">
        <f>VLOOKUP(C18,'BD  Materiales y equipos'!$B$3:$K$190,10,FALSE())*1.14265904837007</f>
        <v>11.501050312023285</v>
      </c>
    </row>
    <row r="19" spans="1:15" ht="13.5" thickBot="1">
      <c r="A19" s="584" t="str">
        <f>IF(VLOOKUP(C19,'BD  Materiales y equipos'!$B$3:$F$190,1,FALSE())=C19,"CORRECTO","NO LISTADO")</f>
        <v>CORRECTO</v>
      </c>
      <c r="B19" s="147" t="s">
        <v>411</v>
      </c>
      <c r="C19" s="147" t="s">
        <v>731</v>
      </c>
      <c r="D19" s="192" t="str">
        <f>VLOOKUP(C19,'BD  Materiales y equipos'!$B$3:$F$190,2,FALSE())</f>
        <v>Junta</v>
      </c>
      <c r="E19" s="192">
        <f>VLOOKUP(C19,'BD  Materiales y equipos'!$B$3:$F$190,3,FALSE())</f>
        <v>0</v>
      </c>
      <c r="F19" s="192">
        <f>VLOOKUP(C19,'BD  Materiales y equipos'!$B$3:$F$190,4,FALSE())</f>
        <v>0</v>
      </c>
      <c r="G19" s="193">
        <v>14</v>
      </c>
      <c r="H19" s="194">
        <f>VLOOKUP(C19,'BD  Materiales y equipos'!$B$3:$K$190,8,FALSE())*G19</f>
        <v>97.996477252104711</v>
      </c>
      <c r="I19" s="194">
        <f t="shared" si="2"/>
        <v>39.399092029556897</v>
      </c>
      <c r="J19" s="194">
        <f t="shared" si="3"/>
        <v>39.399092029556897</v>
      </c>
      <c r="K19" s="137" t="str">
        <f>VLOOKUP(C19,'BD  Materiales y equipos'!$B$3:$L$190,11,FALSE())</f>
        <v>IMPORTADO</v>
      </c>
      <c r="L19" s="436">
        <f t="shared" si="0"/>
        <v>1</v>
      </c>
      <c r="M19" s="421">
        <f t="shared" si="1"/>
        <v>1</v>
      </c>
      <c r="N19" s="194">
        <f>VLOOKUP(C19,'BD  Materiales y equipos'!$B$3:$K$190,9,FALSE())*0.811905633063426</f>
        <v>0.4020460034313193</v>
      </c>
      <c r="O19" s="194">
        <f>VLOOKUP(C19,'BD  Materiales y equipos'!$B$3:$K$190,10,FALSE())*1.14265904837007</f>
        <v>0</v>
      </c>
    </row>
    <row r="20" spans="1:15" ht="13.5" thickBot="1">
      <c r="A20" s="584" t="str">
        <f>IF(VLOOKUP(C20,'BD  Materiales y equipos'!$B$3:$F$190,1,FALSE())=C20,"CORRECTO","NO LISTADO")</f>
        <v>CORRECTO</v>
      </c>
      <c r="B20" s="147" t="s">
        <v>411</v>
      </c>
      <c r="C20" s="147" t="s">
        <v>733</v>
      </c>
      <c r="D20" s="192" t="str">
        <f>VLOOKUP(C20,'BD  Materiales y equipos'!$B$3:$F$190,2,FALSE())</f>
        <v>Junta</v>
      </c>
      <c r="E20" s="192">
        <f>VLOOKUP(C20,'BD  Materiales y equipos'!$B$3:$F$190,3,FALSE())</f>
        <v>0</v>
      </c>
      <c r="F20" s="192">
        <f>VLOOKUP(C20,'BD  Materiales y equipos'!$B$3:$F$190,4,FALSE())</f>
        <v>0</v>
      </c>
      <c r="G20" s="193">
        <v>4</v>
      </c>
      <c r="H20" s="194">
        <f>VLOOKUP(C20,'BD  Materiales y equipos'!$B$3:$K$190,8,FALSE())*G20</f>
        <v>16.691707663820033</v>
      </c>
      <c r="I20" s="194">
        <f t="shared" si="2"/>
        <v>6.8541518585796055</v>
      </c>
      <c r="J20" s="194">
        <f t="shared" si="3"/>
        <v>6.8541518585796055</v>
      </c>
      <c r="K20" s="137" t="str">
        <f>VLOOKUP(C20,'BD  Materiales y equipos'!$B$3:$L$190,11,FALSE())</f>
        <v>IMPORTADO</v>
      </c>
      <c r="L20" s="436">
        <f t="shared" si="0"/>
        <v>1</v>
      </c>
      <c r="M20" s="421">
        <f t="shared" si="1"/>
        <v>1</v>
      </c>
      <c r="N20" s="194">
        <f>VLOOKUP(C20,'BD  Materiales y equipos'!$B$3:$K$190,9,FALSE())*0.811905633063426</f>
        <v>0.41063215320001462</v>
      </c>
      <c r="O20" s="194">
        <f>VLOOKUP(C20,'BD  Materiales y equipos'!$B$3:$K$190,10,FALSE())*1.14265904837007</f>
        <v>0</v>
      </c>
    </row>
    <row r="21" spans="1:15" ht="13.5" thickBot="1">
      <c r="A21" s="584" t="str">
        <f>IF(VLOOKUP(C21,'BD  Materiales y equipos'!$B$3:$F$190,1,FALSE())=C21,"CORRECTO","NO LISTADO")</f>
        <v>CORRECTO</v>
      </c>
      <c r="B21" s="147" t="s">
        <v>411</v>
      </c>
      <c r="C21" s="147" t="s">
        <v>734</v>
      </c>
      <c r="D21" s="192" t="str">
        <f>VLOOKUP(C21,'BD  Materiales y equipos'!$B$3:$F$190,2,FALSE())</f>
        <v>Unidad</v>
      </c>
      <c r="E21" s="192">
        <f>VLOOKUP(C21,'BD  Materiales y equipos'!$B$3:$F$190,3,FALSE())</f>
        <v>0</v>
      </c>
      <c r="F21" s="192">
        <f>VLOOKUP(C21,'BD  Materiales y equipos'!$B$3:$F$190,4,FALSE())</f>
        <v>0</v>
      </c>
      <c r="G21" s="193">
        <v>14</v>
      </c>
      <c r="H21" s="194">
        <f>VLOOKUP(C21,'BD  Materiales y equipos'!$B$3:$K$190,8,FALSE())*G21</f>
        <v>10.386790894782646</v>
      </c>
      <c r="I21" s="194">
        <f t="shared" si="2"/>
        <v>84.330940369259324</v>
      </c>
      <c r="J21" s="194">
        <f t="shared" si="3"/>
        <v>84.330940369259324</v>
      </c>
      <c r="K21" s="137" t="str">
        <f>VLOOKUP(C21,'BD  Materiales y equipos'!$B$3:$L$190,11,FALSE())</f>
        <v>IMPORTADO</v>
      </c>
      <c r="L21" s="436">
        <f t="shared" si="0"/>
        <v>1</v>
      </c>
      <c r="M21" s="421">
        <f t="shared" si="1"/>
        <v>1</v>
      </c>
      <c r="N21" s="194">
        <f>VLOOKUP(C21,'BD  Materiales y equipos'!$B$3:$K$190,9,FALSE())*0.811905633063426</f>
        <v>8.11905633063426</v>
      </c>
      <c r="O21" s="194">
        <f>VLOOKUP(C21,'BD  Materiales y equipos'!$B$3:$K$190,10,FALSE())*1.14265904837007</f>
        <v>0</v>
      </c>
    </row>
    <row r="22" spans="1:15" ht="13.5" thickBot="1">
      <c r="A22" s="584" t="str">
        <f>IF(VLOOKUP(C22,'BD  Materiales y equipos'!$B$3:$F$190,1,FALSE())=C22,"CORRECTO","NO LISTADO")</f>
        <v>CORRECTO</v>
      </c>
      <c r="B22" s="147" t="s">
        <v>411</v>
      </c>
      <c r="C22" s="147" t="s">
        <v>735</v>
      </c>
      <c r="D22" s="192" t="str">
        <f>VLOOKUP(C22,'BD  Materiales y equipos'!$B$3:$F$190,2,FALSE())</f>
        <v>Unidad</v>
      </c>
      <c r="E22" s="192">
        <f>VLOOKUP(C22,'BD  Materiales y equipos'!$B$3:$F$190,3,FALSE())</f>
        <v>0</v>
      </c>
      <c r="F22" s="192">
        <f>VLOOKUP(C22,'BD  Materiales y equipos'!$B$3:$F$190,4,FALSE())</f>
        <v>0</v>
      </c>
      <c r="G22" s="193">
        <v>4</v>
      </c>
      <c r="H22" s="194">
        <f>VLOOKUP(C22,'BD  Materiales y equipos'!$B$3:$K$190,8,FALSE())*G22</f>
        <v>2.3741236330931761</v>
      </c>
      <c r="I22" s="194">
        <f t="shared" si="2"/>
        <v>19.275643512973559</v>
      </c>
      <c r="J22" s="194">
        <f t="shared" si="3"/>
        <v>19.275643512973559</v>
      </c>
      <c r="K22" s="137" t="str">
        <f>VLOOKUP(C22,'BD  Materiales y equipos'!$B$3:$L$190,11,FALSE())</f>
        <v>IMPORTADO</v>
      </c>
      <c r="L22" s="436">
        <f t="shared" si="0"/>
        <v>1</v>
      </c>
      <c r="M22" s="421">
        <f t="shared" si="1"/>
        <v>1</v>
      </c>
      <c r="N22" s="194">
        <f>VLOOKUP(C22,'BD  Materiales y equipos'!$B$3:$K$190,9,FALSE())*0.811905633063426</f>
        <v>8.11905633063426</v>
      </c>
      <c r="O22" s="194">
        <f>VLOOKUP(C22,'BD  Materiales y equipos'!$B$3:$K$190,10,FALSE())*1.14265904837007</f>
        <v>0</v>
      </c>
    </row>
    <row r="23" spans="1:15" ht="13.5" thickBot="1">
      <c r="A23" s="584" t="str">
        <f>IF(VLOOKUP(C23,'BD  Materiales y equipos'!$B$3:$F$190,1,FALSE())=C23,"CORRECTO","NO LISTADO")</f>
        <v>CORRECTO</v>
      </c>
      <c r="B23" s="147" t="s">
        <v>411</v>
      </c>
      <c r="C23" s="147" t="s">
        <v>736</v>
      </c>
      <c r="D23" s="192" t="str">
        <f>VLOOKUP(C23,'BD  Materiales y equipos'!$B$3:$F$190,2,FALSE())</f>
        <v>Global</v>
      </c>
      <c r="E23" s="192">
        <f>VLOOKUP(C23,'BD  Materiales y equipos'!$B$3:$F$190,3,FALSE())</f>
        <v>0</v>
      </c>
      <c r="F23" s="192">
        <f>VLOOKUP(C23,'BD  Materiales y equipos'!$B$3:$F$190,4,FALSE())</f>
        <v>0</v>
      </c>
      <c r="G23" s="193">
        <v>1</v>
      </c>
      <c r="H23" s="194">
        <f>VLOOKUP(C23,'BD  Materiales y equipos'!$B$3:$K$190,8,FALSE())*G23</f>
        <v>1056.1882512723266</v>
      </c>
      <c r="I23" s="194">
        <f t="shared" si="2"/>
        <v>11993.550532461624</v>
      </c>
      <c r="J23" s="194">
        <f t="shared" si="3"/>
        <v>11993.550532461624</v>
      </c>
      <c r="K23" s="137" t="str">
        <f>VLOOKUP(C23,'BD  Materiales y equipos'!$B$3:$L$190,11,FALSE())</f>
        <v>NACIONAL</v>
      </c>
      <c r="L23" s="436">
        <f t="shared" si="0"/>
        <v>1</v>
      </c>
      <c r="M23" s="421">
        <f t="shared" si="1"/>
        <v>1</v>
      </c>
      <c r="N23" s="194">
        <f>VLOOKUP(C23,'BD  Materiales y equipos'!$B$3:$K$190,9,FALSE())*0.811905633063426</f>
        <v>11.355504587381761</v>
      </c>
      <c r="O23" s="194">
        <f>VLOOKUP(C23,'BD  Materiales y equipos'!$B$3:$K$190,10,FALSE())*1.14265904837007</f>
        <v>0</v>
      </c>
    </row>
    <row r="24" spans="1:15" ht="13.5" thickBot="1">
      <c r="A24" s="584" t="str">
        <f>IF(VLOOKUP(C24,'BD  Materiales y equipos'!$B$3:$F$190,1,FALSE())=C24,"CORRECTO","NO LISTADO")</f>
        <v>CORRECTO</v>
      </c>
      <c r="B24" s="147" t="s">
        <v>411</v>
      </c>
      <c r="C24" s="147" t="s">
        <v>739</v>
      </c>
      <c r="D24" s="192" t="str">
        <f>VLOOKUP(C24,'BD  Materiales y equipos'!$B$3:$F$190,2,FALSE())</f>
        <v>Unidad</v>
      </c>
      <c r="E24" s="192">
        <f>VLOOKUP(C24,'BD  Materiales y equipos'!$B$3:$F$190,3,FALSE())</f>
        <v>0</v>
      </c>
      <c r="F24" s="192" t="str">
        <f>VLOOKUP(C24,'BD  Materiales y equipos'!$B$3:$F$190,4,FALSE())</f>
        <v>150#</v>
      </c>
      <c r="G24" s="193">
        <v>6</v>
      </c>
      <c r="H24" s="194">
        <f>VLOOKUP(C24,'BD  Materiales y equipos'!$B$3:$K$190,8,FALSE())*G24</f>
        <v>3917.3039946037406</v>
      </c>
      <c r="I24" s="194">
        <f t="shared" si="2"/>
        <v>37145.895198679405</v>
      </c>
      <c r="J24" s="194">
        <f t="shared" si="3"/>
        <v>37145.895198679405</v>
      </c>
      <c r="K24" s="137" t="str">
        <f>VLOOKUP(C24,'BD  Materiales y equipos'!$B$3:$L$190,11,FALSE())</f>
        <v>IMPORTADO</v>
      </c>
      <c r="L24" s="436">
        <f t="shared" si="0"/>
        <v>1</v>
      </c>
      <c r="M24" s="421">
        <f t="shared" si="1"/>
        <v>1</v>
      </c>
      <c r="N24" s="194">
        <f>VLOOKUP(C24,'BD  Materiales y equipos'!$B$3:$K$190,9,FALSE())*0.811905633063426</f>
        <v>9.4825153344875748</v>
      </c>
      <c r="O24" s="194">
        <f>VLOOKUP(C24,'BD  Materiales y equipos'!$B$3:$K$190,10,FALSE())*1.14265904837007</f>
        <v>5.3783280881898081</v>
      </c>
    </row>
    <row r="25" spans="1:15" ht="13.5" thickBot="1">
      <c r="A25" s="584" t="str">
        <f>IF(VLOOKUP(C25,'BD  Materiales y equipos'!$B$3:$F$190,1,FALSE())=C25,"CORRECTO","NO LISTADO")</f>
        <v>CORRECTO</v>
      </c>
      <c r="B25" s="147" t="s">
        <v>411</v>
      </c>
      <c r="C25" s="147" t="s">
        <v>739</v>
      </c>
      <c r="D25" s="192" t="str">
        <f>VLOOKUP(C25,'BD  Materiales y equipos'!$B$3:$F$190,2,FALSE())</f>
        <v>Unidad</v>
      </c>
      <c r="E25" s="192">
        <f>VLOOKUP(C25,'BD  Materiales y equipos'!$B$3:$F$190,3,FALSE())</f>
        <v>0</v>
      </c>
      <c r="F25" s="192" t="str">
        <f>VLOOKUP(C25,'BD  Materiales y equipos'!$B$3:$F$190,4,FALSE())</f>
        <v>150#</v>
      </c>
      <c r="G25" s="193">
        <v>2</v>
      </c>
      <c r="H25" s="194">
        <f>VLOOKUP(C25,'BD  Materiales y equipos'!$B$3:$K$190,8,FALSE())*G25</f>
        <v>1305.7679982012469</v>
      </c>
      <c r="I25" s="194">
        <f t="shared" si="2"/>
        <v>12381.965066226467</v>
      </c>
      <c r="J25" s="194">
        <f t="shared" si="3"/>
        <v>12381.965066226467</v>
      </c>
      <c r="K25" s="137" t="str">
        <f>VLOOKUP(C25,'BD  Materiales y equipos'!$B$3:$L$190,11,FALSE())</f>
        <v>IMPORTADO</v>
      </c>
      <c r="L25" s="436">
        <f t="shared" si="0"/>
        <v>1</v>
      </c>
      <c r="M25" s="421">
        <f t="shared" si="1"/>
        <v>1</v>
      </c>
      <c r="N25" s="194">
        <f>VLOOKUP(C25,'BD  Materiales y equipos'!$B$3:$K$190,9,FALSE())*0.811905633063426</f>
        <v>9.4825153344875748</v>
      </c>
      <c r="O25" s="194">
        <f>VLOOKUP(C25,'BD  Materiales y equipos'!$B$3:$K$190,10,FALSE())*1.14265904837007</f>
        <v>5.3783280881898081</v>
      </c>
    </row>
    <row r="26" spans="1:15" ht="13.5" thickBot="1">
      <c r="A26" s="584" t="str">
        <f>IF(VLOOKUP(C26,'BD  Materiales y equipos'!$B$3:$F$190,1,FALSE())=C26,"CORRECTO","NO LISTADO")</f>
        <v>CORRECTO</v>
      </c>
      <c r="B26" s="147" t="s">
        <v>411</v>
      </c>
      <c r="C26" s="147" t="s">
        <v>741</v>
      </c>
      <c r="D26" s="192" t="str">
        <f>VLOOKUP(C26,'BD  Materiales y equipos'!$B$3:$F$190,2,FALSE())</f>
        <v>Unidad</v>
      </c>
      <c r="E26" s="192">
        <f>VLOOKUP(C26,'BD  Materiales y equipos'!$B$3:$F$190,3,FALSE())</f>
        <v>0</v>
      </c>
      <c r="F26" s="192" t="str">
        <f>VLOOKUP(C26,'BD  Materiales y equipos'!$B$3:$F$190,4,FALSE())</f>
        <v>150#</v>
      </c>
      <c r="G26" s="193">
        <v>4</v>
      </c>
      <c r="H26" s="194">
        <f>VLOOKUP(C26,'BD  Materiales y equipos'!$B$3:$K$190,8,FALSE())*G26</f>
        <v>52.230719928049872</v>
      </c>
      <c r="I26" s="194">
        <f t="shared" si="2"/>
        <v>359.36555072836302</v>
      </c>
      <c r="J26" s="194">
        <f t="shared" si="3"/>
        <v>359.36555072836302</v>
      </c>
      <c r="K26" s="137" t="str">
        <f>VLOOKUP(C26,'BD  Materiales y equipos'!$B$3:$L$190,11,FALSE())</f>
        <v>IMPORTADO</v>
      </c>
      <c r="L26" s="436">
        <f t="shared" si="0"/>
        <v>1</v>
      </c>
      <c r="M26" s="421">
        <f t="shared" si="1"/>
        <v>1</v>
      </c>
      <c r="N26" s="194">
        <f>VLOOKUP(C26,'BD  Materiales y equipos'!$B$3:$K$190,9,FALSE())*0.811905633063426</f>
        <v>6.8803484084348243</v>
      </c>
      <c r="O26" s="194">
        <f>VLOOKUP(C26,'BD  Materiales y equipos'!$B$3:$K$190,10,FALSE())*1.14265904837007</f>
        <v>7.4073749219160865</v>
      </c>
    </row>
    <row r="27" spans="1:15" ht="13.5" thickBot="1">
      <c r="A27" s="584" t="str">
        <f>IF(VLOOKUP(C27,'BD  Materiales y equipos'!$B$3:$F$190,1,FALSE())=C27,"CORRECTO","NO LISTADO")</f>
        <v>CORRECTO</v>
      </c>
      <c r="B27" s="147" t="s">
        <v>411</v>
      </c>
      <c r="C27" s="147" t="s">
        <v>742</v>
      </c>
      <c r="D27" s="192" t="str">
        <f>VLOOKUP(C27,'BD  Materiales y equipos'!$B$3:$F$190,2,FALSE())</f>
        <v>Unidad</v>
      </c>
      <c r="E27" s="192">
        <f>VLOOKUP(C27,'BD  Materiales y equipos'!$B$3:$F$190,3,FALSE())</f>
        <v>0</v>
      </c>
      <c r="F27" s="192" t="str">
        <f>VLOOKUP(C27,'BD  Materiales y equipos'!$B$3:$F$190,4,FALSE())</f>
        <v>150#</v>
      </c>
      <c r="G27" s="193">
        <v>8</v>
      </c>
      <c r="H27" s="194">
        <f>VLOOKUP(C27,'BD  Materiales y equipos'!$B$3:$K$190,8,FALSE())*G27</f>
        <v>35.61185449639764</v>
      </c>
      <c r="I27" s="194">
        <f t="shared" si="2"/>
        <v>422.67738508773442</v>
      </c>
      <c r="J27" s="194">
        <f t="shared" si="3"/>
        <v>422.67738508773442</v>
      </c>
      <c r="K27" s="137" t="str">
        <f>VLOOKUP(C27,'BD  Materiales y equipos'!$B$3:$L$190,11,FALSE())</f>
        <v>IMPORTADO</v>
      </c>
      <c r="L27" s="436">
        <f t="shared" si="0"/>
        <v>1</v>
      </c>
      <c r="M27" s="421">
        <f t="shared" si="1"/>
        <v>1</v>
      </c>
      <c r="N27" s="194">
        <f>VLOOKUP(C27,'BD  Materiales y equipos'!$B$3:$K$190,9,FALSE())*0.811905633063426</f>
        <v>11.869007976837905</v>
      </c>
      <c r="O27" s="194">
        <f>VLOOKUP(C27,'BD  Materiales y equipos'!$B$3:$K$190,10,FALSE())*1.14265904837007</f>
        <v>7.4073749219160865</v>
      </c>
    </row>
    <row r="28" spans="1:15" ht="13.5" thickBot="1">
      <c r="A28" s="585" t="str">
        <f>IF(VLOOKUP(C28,'BD  Materiales y equipos'!$B$3:$F$190,1,FALSE())=C28,"CORRECTO","NO LISTADO")</f>
        <v>CORRECTO</v>
      </c>
      <c r="B28" s="586" t="s">
        <v>411</v>
      </c>
      <c r="C28" s="586" t="s">
        <v>743</v>
      </c>
      <c r="D28" s="623" t="str">
        <f>VLOOKUP(C28,'BD  Materiales y equipos'!$B$3:$F$190,2,FALSE())</f>
        <v>Unidad</v>
      </c>
      <c r="E28" s="623">
        <f>VLOOKUP(C28,'BD  Materiales y equipos'!$B$3:$F$190,3,FALSE())</f>
        <v>0</v>
      </c>
      <c r="F28" s="623">
        <f>VLOOKUP(C28,'BD  Materiales y equipos'!$B$3:$F$190,4,FALSE())</f>
        <v>0</v>
      </c>
      <c r="G28" s="624">
        <v>8</v>
      </c>
      <c r="H28" s="589">
        <f>VLOOKUP(C28,'BD  Materiales y equipos'!$B$3:$K$190,8,FALSE())*G28</f>
        <v>166.18865431652233</v>
      </c>
      <c r="I28" s="589">
        <f t="shared" si="2"/>
        <v>15237.588953440731</v>
      </c>
      <c r="J28" s="589">
        <f t="shared" si="3"/>
        <v>15237.588953440731</v>
      </c>
      <c r="K28" s="625" t="str">
        <f>VLOOKUP(C28,'BD  Materiales y equipos'!$B$3:$L$190,11,FALSE())</f>
        <v>IMPORTADO</v>
      </c>
      <c r="L28" s="436">
        <f t="shared" si="0"/>
        <v>1</v>
      </c>
      <c r="M28" s="421">
        <f t="shared" si="1"/>
        <v>1</v>
      </c>
      <c r="N28" s="589">
        <f>VLOOKUP(C28,'BD  Materiales y equipos'!$B$3:$K$190,9,FALSE())*0.811905633063426</f>
        <v>91.688503141852706</v>
      </c>
      <c r="O28" s="589">
        <f>VLOOKUP(C28,'BD  Materiales y equipos'!$B$3:$K$190,10,FALSE())*1.14265904837007</f>
        <v>65.462936881121308</v>
      </c>
    </row>
  </sheetData>
  <conditionalFormatting sqref="A2:A28">
    <cfRule type="cellIs" dxfId="27" priority="2" operator="equal">
      <formula>"CORRECTO"</formula>
    </cfRule>
    <cfRule type="cellIs" dxfId="26" priority="3" operator="notEqual">
      <formula>"CORRECTO"</formula>
    </cfRule>
  </conditionalFormatting>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5">
    <tabColor theme="5" tint="0.79998168889431442"/>
  </sheetPr>
  <dimension ref="A1:Q57"/>
  <sheetViews>
    <sheetView showGridLines="0" showRowColHeaders="0" topLeftCell="F1" zoomScaleNormal="100" workbookViewId="0">
      <pane ySplit="1" topLeftCell="A41" activePane="bottomLeft" state="frozen"/>
      <selection activeCell="C17" sqref="C17:H17"/>
      <selection pane="bottomLeft" activeCell="C17" sqref="C17:H17"/>
    </sheetView>
  </sheetViews>
  <sheetFormatPr baseColWidth="10" defaultColWidth="9.140625" defaultRowHeight="12.75"/>
  <cols>
    <col min="1" max="1" width="11.28515625" customWidth="1"/>
    <col min="2" max="2" width="19.140625" customWidth="1"/>
    <col min="3" max="3" width="71.28515625" customWidth="1"/>
    <col min="4" max="4" width="10.7109375" style="122" customWidth="1"/>
    <col min="5" max="5" width="14" style="122" customWidth="1"/>
    <col min="6" max="6" width="10.42578125" style="122" customWidth="1"/>
    <col min="7" max="7" width="13.42578125" style="122" customWidth="1"/>
    <col min="8" max="8" width="20.140625" style="190" customWidth="1"/>
    <col min="9" max="9" width="15.28515625" style="190" customWidth="1"/>
    <col min="10" max="10" width="12.42578125" style="190" customWidth="1"/>
    <col min="11" max="11" width="10.7109375" customWidth="1"/>
    <col min="12" max="12" width="13.7109375" customWidth="1"/>
    <col min="13" max="13" width="12.85546875" customWidth="1"/>
    <col min="14" max="15" width="22.140625" customWidth="1"/>
    <col min="16" max="1018" width="10.42578125" customWidth="1"/>
    <col min="1019" max="1025" width="11.42578125"/>
  </cols>
  <sheetData>
    <row r="1" spans="1:15" ht="57" thickBot="1">
      <c r="A1" s="596" t="s">
        <v>955</v>
      </c>
      <c r="B1" s="597" t="s">
        <v>956</v>
      </c>
      <c r="C1" s="597" t="s">
        <v>957</v>
      </c>
      <c r="D1" s="597" t="s">
        <v>699</v>
      </c>
      <c r="E1" s="597" t="s">
        <v>700</v>
      </c>
      <c r="F1" s="597" t="s">
        <v>701</v>
      </c>
      <c r="G1" s="597" t="s">
        <v>673</v>
      </c>
      <c r="H1" s="598" t="s">
        <v>958</v>
      </c>
      <c r="I1" s="598" t="s">
        <v>964</v>
      </c>
      <c r="J1" s="598" t="s">
        <v>960</v>
      </c>
      <c r="K1" s="604" t="s">
        <v>706</v>
      </c>
      <c r="L1" s="605" t="s">
        <v>961</v>
      </c>
      <c r="M1" s="197" t="s">
        <v>962</v>
      </c>
      <c r="N1" s="598" t="s">
        <v>965</v>
      </c>
      <c r="O1" s="598" t="s">
        <v>966</v>
      </c>
    </row>
    <row r="2" spans="1:15" ht="13.5" thickBot="1">
      <c r="A2" s="607" t="str">
        <f>IF(VLOOKUP(C2,'BD  Materiales y equipos'!$B$3:$F$190,1,FALSE())=C2,"CORRECTO","NO LISTADO")</f>
        <v>CORRECTO</v>
      </c>
      <c r="B2" s="608" t="s">
        <v>411</v>
      </c>
      <c r="C2" s="608" t="s">
        <v>800</v>
      </c>
      <c r="D2" s="609" t="str">
        <f>VLOOKUP(C2,'BD  Materiales y equipos'!$B$3:$F$190,2,FALSE())</f>
        <v>Metro lineal</v>
      </c>
      <c r="E2" s="609" t="str">
        <f>VLOOKUP(C2,'BD  Materiales y equipos'!$B$3:$F$190,3,FALSE())</f>
        <v>XS</v>
      </c>
      <c r="F2" s="609">
        <f>VLOOKUP(C2,'BD  Materiales y equipos'!$B$3:$F$190,4,FALSE())</f>
        <v>0</v>
      </c>
      <c r="G2" s="610">
        <v>24</v>
      </c>
      <c r="H2" s="611">
        <f>VLOOKUP(C2,'BD  Materiales y equipos'!$B$3:$I$190,8,FALSE())*G2</f>
        <v>695.09917828783148</v>
      </c>
      <c r="I2" s="611">
        <f>N2*$H2*L2</f>
        <v>1633.2932330242313</v>
      </c>
      <c r="J2" s="611">
        <f>O2*$H2*M2</f>
        <v>3836.2020884375647</v>
      </c>
      <c r="K2" s="609" t="str">
        <f>VLOOKUP(C2,'BD  Materiales y equipos'!$B$3:$L$190,11,FALSE())</f>
        <v>IMPORTADO</v>
      </c>
      <c r="L2" s="436">
        <f t="shared" ref="L2:L56" si="0">+acero/acero_base</f>
        <v>1</v>
      </c>
      <c r="M2" s="421">
        <f t="shared" ref="M2:M33" si="1">(0.65*ipc/ipc_base*trm_base/trm+0.35*fac_mano_obra)</f>
        <v>1</v>
      </c>
      <c r="N2" s="611">
        <f>VLOOKUP(C2,'BD  Materiales y equipos'!$B$3:$K$190,9,FALSE())*0.811905633063426</f>
        <v>2.3497268937180444</v>
      </c>
      <c r="O2" s="611">
        <f>VLOOKUP(C2,'BD  Materiales y equipos'!$B$3:$K$190,10,FALSE())*1.14265904837007</f>
        <v>5.5189276699864598</v>
      </c>
    </row>
    <row r="3" spans="1:15" ht="13.5" thickBot="1">
      <c r="A3" s="584" t="str">
        <f>IF(VLOOKUP(C3,'BD  Materiales y equipos'!$B$3:$F$190,1,FALSE())=C3,"CORRECTO","NO LISTADO")</f>
        <v>CORRECTO</v>
      </c>
      <c r="B3" s="147" t="s">
        <v>411</v>
      </c>
      <c r="C3" s="147" t="s">
        <v>828</v>
      </c>
      <c r="D3" s="191" t="str">
        <f>VLOOKUP(C3,'BD  Materiales y equipos'!$B$3:$F$190,2,FALSE())</f>
        <v>Metro lineal</v>
      </c>
      <c r="E3" s="191" t="str">
        <f>VLOOKUP(C3,'BD  Materiales y equipos'!$B$3:$F$190,3,FALSE())</f>
        <v>XS</v>
      </c>
      <c r="F3" s="191">
        <f>VLOOKUP(C3,'BD  Materiales y equipos'!$B$3:$F$190,4,FALSE())</f>
        <v>0</v>
      </c>
      <c r="G3" s="133">
        <v>60</v>
      </c>
      <c r="H3" s="194">
        <f>VLOOKUP(C3,'BD  Materiales y equipos'!$B$3:$I$190,8,FALSE())*G3</f>
        <v>758.90669663630263</v>
      </c>
      <c r="I3" s="194">
        <f t="shared" ref="I3:I57" si="2">N3*$H3*L3</f>
        <v>1780.7273614223243</v>
      </c>
      <c r="J3" s="194">
        <f t="shared" ref="J3:J57" si="3">O3*$H3*M3</f>
        <v>4403.7647521548888</v>
      </c>
      <c r="K3" s="191" t="str">
        <f>VLOOKUP(C3,'BD  Materiales y equipos'!$B$3:$L$190,11,FALSE())</f>
        <v>IMPORTADO</v>
      </c>
      <c r="L3" s="436">
        <f t="shared" si="0"/>
        <v>1</v>
      </c>
      <c r="M3" s="421">
        <f t="shared" si="1"/>
        <v>1</v>
      </c>
      <c r="N3" s="194">
        <f>VLOOKUP(C3,'BD  Materiales y equipos'!$B$3:$K$190,9,FALSE())*0.811905633063426</f>
        <v>2.3464378023214594</v>
      </c>
      <c r="O3" s="194">
        <f>VLOOKUP(C3,'BD  Materiales y equipos'!$B$3:$K$190,10,FALSE())*1.14265904837007</f>
        <v>5.8027749282931191</v>
      </c>
    </row>
    <row r="4" spans="1:15" ht="13.5" thickBot="1">
      <c r="A4" s="584" t="str">
        <f>IF(VLOOKUP(C4,'BD  Materiales y equipos'!$B$3:$F$190,1,FALSE())=C4,"CORRECTO","NO LISTADO")</f>
        <v>CORRECTO</v>
      </c>
      <c r="B4" s="147" t="s">
        <v>411</v>
      </c>
      <c r="C4" s="147" t="s">
        <v>829</v>
      </c>
      <c r="D4" s="191" t="str">
        <f>VLOOKUP(C4,'BD  Materiales y equipos'!$B$3:$F$190,2,FALSE())</f>
        <v>Metro lineal</v>
      </c>
      <c r="E4" s="191" t="str">
        <f>VLOOKUP(C4,'BD  Materiales y equipos'!$B$3:$F$190,3,FALSE())</f>
        <v>XS</v>
      </c>
      <c r="F4" s="191">
        <f>VLOOKUP(C4,'BD  Materiales y equipos'!$B$3:$F$190,4,FALSE())</f>
        <v>0</v>
      </c>
      <c r="G4" s="133">
        <v>12</v>
      </c>
      <c r="H4" s="194">
        <f>VLOOKUP(C4,'BD  Materiales y equipos'!$B$3:$I$190,8,FALSE())*G4</f>
        <v>151.67534677186441</v>
      </c>
      <c r="I4" s="194">
        <f t="shared" si="2"/>
        <v>355.73133635456429</v>
      </c>
      <c r="J4" s="194">
        <f t="shared" si="3"/>
        <v>523.17829259627013</v>
      </c>
      <c r="K4" s="191" t="str">
        <f>VLOOKUP(C4,'BD  Materiales y equipos'!$B$3:$L$190,11,FALSE())</f>
        <v>IMPORTADO</v>
      </c>
      <c r="L4" s="436">
        <f t="shared" si="0"/>
        <v>1</v>
      </c>
      <c r="M4" s="421">
        <f t="shared" si="1"/>
        <v>1</v>
      </c>
      <c r="N4" s="194">
        <f>VLOOKUP(C4,'BD  Materiales y equipos'!$B$3:$K$190,9,FALSE())*0.811905633063426</f>
        <v>2.34534711095549</v>
      </c>
      <c r="O4" s="194">
        <f>VLOOKUP(C4,'BD  Materiales y equipos'!$B$3:$K$190,10,FALSE())*1.14265904837007</f>
        <v>3.4493297937415299</v>
      </c>
    </row>
    <row r="5" spans="1:15" ht="13.5" thickBot="1">
      <c r="A5" s="584" t="str">
        <f>IF(VLOOKUP(C5,'BD  Materiales y equipos'!$B$3:$F$190,1,FALSE())=C5,"CORRECTO","NO LISTADO")</f>
        <v>CORRECTO</v>
      </c>
      <c r="B5" s="147" t="s">
        <v>411</v>
      </c>
      <c r="C5" s="147" t="s">
        <v>801</v>
      </c>
      <c r="D5" s="191" t="str">
        <f>VLOOKUP(C5,'BD  Materiales y equipos'!$B$3:$F$190,2,FALSE())</f>
        <v>Metro lineal</v>
      </c>
      <c r="E5" s="191" t="str">
        <f>VLOOKUP(C5,'BD  Materiales y equipos'!$B$3:$F$190,3,FALSE())</f>
        <v>XS</v>
      </c>
      <c r="F5" s="191">
        <f>VLOOKUP(C5,'BD  Materiales y equipos'!$B$3:$F$190,4,FALSE())</f>
        <v>0</v>
      </c>
      <c r="G5" s="133">
        <v>36</v>
      </c>
      <c r="H5" s="194">
        <f>VLOOKUP(C5,'BD  Materiales y equipos'!$B$3:$I$190,8,FALSE())*G5</f>
        <v>238.77748439834622</v>
      </c>
      <c r="I5" s="194">
        <f t="shared" si="2"/>
        <v>564.57038535226582</v>
      </c>
      <c r="J5" s="194">
        <f t="shared" si="3"/>
        <v>990.96160354014387</v>
      </c>
      <c r="K5" s="191" t="str">
        <f>VLOOKUP(C5,'BD  Materiales y equipos'!$B$3:$L$190,11,FALSE())</f>
        <v>IMPORTADO</v>
      </c>
      <c r="L5" s="436">
        <f t="shared" si="0"/>
        <v>1</v>
      </c>
      <c r="M5" s="421">
        <f t="shared" si="1"/>
        <v>1</v>
      </c>
      <c r="N5" s="194">
        <f>VLOOKUP(C5,'BD  Materiales y equipos'!$B$3:$K$190,9,FALSE())*0.811905633063426</f>
        <v>2.3644205263943894</v>
      </c>
      <c r="O5" s="194">
        <f>VLOOKUP(C5,'BD  Materiales y equipos'!$B$3:$K$190,10,FALSE())*1.14265904837007</f>
        <v>4.1501467612706255</v>
      </c>
    </row>
    <row r="6" spans="1:15" ht="13.5" thickBot="1">
      <c r="A6" s="584" t="str">
        <f>IF(VLOOKUP(C6,'BD  Materiales y equipos'!$B$3:$F$190,1,FALSE())=C6,"CORRECTO","NO LISTADO")</f>
        <v>CORRECTO</v>
      </c>
      <c r="B6" s="147" t="s">
        <v>411</v>
      </c>
      <c r="C6" s="147" t="s">
        <v>802</v>
      </c>
      <c r="D6" s="191" t="str">
        <f>VLOOKUP(C6,'BD  Materiales y equipos'!$B$3:$F$190,2,FALSE())</f>
        <v>Metro lineal</v>
      </c>
      <c r="E6" s="191" t="str">
        <f>VLOOKUP(C6,'BD  Materiales y equipos'!$B$3:$F$190,3,FALSE())</f>
        <v>XS</v>
      </c>
      <c r="F6" s="191">
        <f>VLOOKUP(C6,'BD  Materiales y equipos'!$B$3:$F$190,4,FALSE())</f>
        <v>0</v>
      </c>
      <c r="G6" s="133">
        <v>36</v>
      </c>
      <c r="H6" s="194">
        <f>VLOOKUP(C6,'BD  Materiales y equipos'!$B$3:$I$190,8,FALSE())*G6</f>
        <v>80.019837053405496</v>
      </c>
      <c r="I6" s="194">
        <f t="shared" si="2"/>
        <v>234.51216904183025</v>
      </c>
      <c r="J6" s="194">
        <f t="shared" si="3"/>
        <v>332.09406758459403</v>
      </c>
      <c r="K6" s="191" t="str">
        <f>VLOOKUP(C6,'BD  Materiales y equipos'!$B$3:$L$190,11,FALSE())</f>
        <v>IMPORTADO</v>
      </c>
      <c r="L6" s="436">
        <f t="shared" si="0"/>
        <v>1</v>
      </c>
      <c r="M6" s="421">
        <f t="shared" si="1"/>
        <v>1</v>
      </c>
      <c r="N6" s="194">
        <f>VLOOKUP(C6,'BD  Materiales y equipos'!$B$3:$K$190,9,FALSE())*0.811905633063426</f>
        <v>2.9306754134642397</v>
      </c>
      <c r="O6" s="194">
        <f>VLOOKUP(C6,'BD  Materiales y equipos'!$B$3:$K$190,10,FALSE())*1.14265904837007</f>
        <v>4.1501467612706255</v>
      </c>
    </row>
    <row r="7" spans="1:15" ht="13.5" thickBot="1">
      <c r="A7" s="584" t="str">
        <f>IF(VLOOKUP(C7,'BD  Materiales y equipos'!$B$3:$F$190,1,FALSE())=C7,"CORRECTO","NO LISTADO")</f>
        <v>CORRECTO</v>
      </c>
      <c r="B7" s="147" t="s">
        <v>411</v>
      </c>
      <c r="C7" s="147" t="s">
        <v>746</v>
      </c>
      <c r="D7" s="191" t="str">
        <f>VLOOKUP(C7,'BD  Materiales y equipos'!$B$3:$F$190,2,FALSE())</f>
        <v>Metro lineal</v>
      </c>
      <c r="E7" s="191">
        <f>VLOOKUP(C7,'BD  Materiales y equipos'!$B$3:$F$190,3,FALSE())</f>
        <v>40</v>
      </c>
      <c r="F7" s="191">
        <f>VLOOKUP(C7,'BD  Materiales y equipos'!$B$3:$F$190,4,FALSE())</f>
        <v>0</v>
      </c>
      <c r="G7" s="133">
        <v>500</v>
      </c>
      <c r="H7" s="194">
        <f>VLOOKUP(C7,'BD  Materiales y equipos'!$B$3:$I$190,8,FALSE())*G7</f>
        <v>6319.6203458398986</v>
      </c>
      <c r="I7" s="194">
        <f t="shared" si="2"/>
        <v>11324.107683816459</v>
      </c>
      <c r="J7" s="194">
        <f t="shared" si="3"/>
        <v>21798.454744040715</v>
      </c>
      <c r="K7" s="191" t="str">
        <f>VLOOKUP(C7,'BD  Materiales y equipos'!$B$3:$L$190,11,FALSE())</f>
        <v>IMPORTADO</v>
      </c>
      <c r="L7" s="436">
        <f t="shared" si="0"/>
        <v>1</v>
      </c>
      <c r="M7" s="421">
        <f t="shared" si="1"/>
        <v>1</v>
      </c>
      <c r="N7" s="194">
        <f>VLOOKUP(C7,'BD  Materiales y equipos'!$B$3:$K$190,9,FALSE())*0.811905633063426</f>
        <v>1.7918968330543672</v>
      </c>
      <c r="O7" s="194">
        <f>VLOOKUP(C7,'BD  Materiales y equipos'!$B$3:$K$190,10,FALSE())*1.14265904837007</f>
        <v>3.4493297937415299</v>
      </c>
    </row>
    <row r="8" spans="1:15" ht="13.5" thickBot="1">
      <c r="A8" s="584" t="str">
        <f>IF(VLOOKUP(C8,'BD  Materiales y equipos'!$B$3:$F$190,1,FALSE())=C8,"CORRECTO","NO LISTADO")</f>
        <v>CORRECTO</v>
      </c>
      <c r="B8" s="147" t="s">
        <v>411</v>
      </c>
      <c r="C8" s="147" t="s">
        <v>830</v>
      </c>
      <c r="D8" s="191" t="str">
        <f>VLOOKUP(C8,'BD  Materiales y equipos'!$B$3:$F$190,2,FALSE())</f>
        <v>Metro lineal</v>
      </c>
      <c r="E8" s="191">
        <f>VLOOKUP(C8,'BD  Materiales y equipos'!$B$3:$F$190,3,FALSE())</f>
        <v>40</v>
      </c>
      <c r="F8" s="191">
        <f>VLOOKUP(C8,'BD  Materiales y equipos'!$B$3:$F$190,4,FALSE())</f>
        <v>0</v>
      </c>
      <c r="G8" s="133">
        <v>250</v>
      </c>
      <c r="H8" s="194">
        <f>VLOOKUP(C8,'BD  Materiales y equipos'!$B$3:$I$190,8,FALSE())*G8</f>
        <v>2099.9775037858585</v>
      </c>
      <c r="I8" s="194">
        <f t="shared" si="2"/>
        <v>4940.2350635928287</v>
      </c>
      <c r="J8" s="194">
        <f t="shared" si="3"/>
        <v>7842.4716424968601</v>
      </c>
      <c r="K8" s="191" t="str">
        <f>VLOOKUP(C8,'BD  Materiales y equipos'!$B$3:$L$190,11,FALSE())</f>
        <v>IMPORTADO</v>
      </c>
      <c r="L8" s="436">
        <f t="shared" si="0"/>
        <v>1</v>
      </c>
      <c r="M8" s="421">
        <f t="shared" si="1"/>
        <v>1</v>
      </c>
      <c r="N8" s="194">
        <f>VLOOKUP(C8,'BD  Materiales y equipos'!$B$3:$K$190,9,FALSE())*0.811905633063426</f>
        <v>2.3525180887350117</v>
      </c>
      <c r="O8" s="194">
        <f>VLOOKUP(C8,'BD  Materiales y equipos'!$B$3:$K$190,10,FALSE())*1.14265904837007</f>
        <v>3.7345503122573365</v>
      </c>
    </row>
    <row r="9" spans="1:15" ht="13.5" thickBot="1">
      <c r="A9" s="584" t="str">
        <f>IF(VLOOKUP(C9,'BD  Materiales y equipos'!$B$3:$F$190,1,FALSE())=C9,"CORRECTO","NO LISTADO")</f>
        <v>CORRECTO</v>
      </c>
      <c r="B9" s="147" t="s">
        <v>411</v>
      </c>
      <c r="C9" s="147" t="s">
        <v>712</v>
      </c>
      <c r="D9" s="191" t="str">
        <f>VLOOKUP(C9,'BD  Materiales y equipos'!$B$3:$F$190,2,FALSE())</f>
        <v>Metro lineal</v>
      </c>
      <c r="E9" s="191">
        <f>VLOOKUP(C9,'BD  Materiales y equipos'!$B$3:$F$190,3,FALSE())</f>
        <v>40</v>
      </c>
      <c r="F9" s="191">
        <f>VLOOKUP(C9,'BD  Materiales y equipos'!$B$3:$F$190,4,FALSE())</f>
        <v>0</v>
      </c>
      <c r="G9" s="133">
        <v>60</v>
      </c>
      <c r="H9" s="194">
        <f>VLOOKUP(C9,'BD  Materiales y equipos'!$B$3:$I$190,8,FALSE())*G9</f>
        <v>286.70986234653611</v>
      </c>
      <c r="I9" s="194">
        <f t="shared" si="2"/>
        <v>896.31742335327112</v>
      </c>
      <c r="J9" s="194">
        <f t="shared" si="3"/>
        <v>1189.8880066418237</v>
      </c>
      <c r="K9" s="191" t="str">
        <f>VLOOKUP(C9,'BD  Materiales y equipos'!$B$3:$L$190,11,FALSE())</f>
        <v>IMPORTADO</v>
      </c>
      <c r="L9" s="436">
        <f t="shared" si="0"/>
        <v>1</v>
      </c>
      <c r="M9" s="421">
        <f t="shared" si="1"/>
        <v>1</v>
      </c>
      <c r="N9" s="194">
        <f>VLOOKUP(C9,'BD  Materiales y equipos'!$B$3:$K$190,9,FALSE())*0.811905633063426</f>
        <v>3.1262176195038727</v>
      </c>
      <c r="O9" s="194">
        <f>VLOOKUP(C9,'BD  Materiales y equipos'!$B$3:$K$190,10,FALSE())*1.14265904837007</f>
        <v>4.1501467612706255</v>
      </c>
    </row>
    <row r="10" spans="1:15" ht="13.5" thickBot="1">
      <c r="A10" s="584" t="str">
        <f>IF(VLOOKUP(C10,'BD  Materiales y equipos'!$B$3:$F$190,1,FALSE())=C10,"CORRECTO","NO LISTADO")</f>
        <v>CORRECTO</v>
      </c>
      <c r="B10" s="147" t="s">
        <v>411</v>
      </c>
      <c r="C10" s="147" t="s">
        <v>713</v>
      </c>
      <c r="D10" s="191" t="str">
        <f>VLOOKUP(C10,'BD  Materiales y equipos'!$B$3:$F$190,2,FALSE())</f>
        <v>Metro lineal</v>
      </c>
      <c r="E10" s="191">
        <f>VLOOKUP(C10,'BD  Materiales y equipos'!$B$3:$F$190,3,FALSE())</f>
        <v>40</v>
      </c>
      <c r="F10" s="191">
        <f>VLOOKUP(C10,'BD  Materiales y equipos'!$B$3:$F$190,4,FALSE())</f>
        <v>0</v>
      </c>
      <c r="G10" s="133">
        <v>60</v>
      </c>
      <c r="H10" s="194">
        <f>VLOOKUP(C10,'BD  Materiales y equipos'!$B$3:$I$190,8,FALSE())*G10</f>
        <v>97.036184465158527</v>
      </c>
      <c r="I10" s="194">
        <f t="shared" si="2"/>
        <v>231.30772215568305</v>
      </c>
      <c r="J10" s="194">
        <f t="shared" si="3"/>
        <v>402.71440668413663</v>
      </c>
      <c r="K10" s="191" t="str">
        <f>VLOOKUP(C10,'BD  Materiales y equipos'!$B$3:$L$190,11,FALSE())</f>
        <v>IMPORTADO</v>
      </c>
      <c r="L10" s="436">
        <f t="shared" si="0"/>
        <v>1</v>
      </c>
      <c r="M10" s="421">
        <f t="shared" si="1"/>
        <v>1</v>
      </c>
      <c r="N10" s="194">
        <f>VLOOKUP(C10,'BD  Materiales y equipos'!$B$3:$K$190,9,FALSE())*0.811905633063426</f>
        <v>2.383726477196098</v>
      </c>
      <c r="O10" s="194">
        <f>VLOOKUP(C10,'BD  Materiales y equipos'!$B$3:$K$190,10,FALSE())*1.14265904837007</f>
        <v>4.1501467612706255</v>
      </c>
    </row>
    <row r="11" spans="1:15" ht="13.5" thickBot="1">
      <c r="A11" s="584" t="str">
        <f>IF(VLOOKUP(C11,'BD  Materiales y equipos'!$B$3:$F$190,1,FALSE())=C11,"CORRECTO","NO LISTADO")</f>
        <v>CORRECTO</v>
      </c>
      <c r="B11" s="147" t="s">
        <v>411</v>
      </c>
      <c r="C11" s="147" t="s">
        <v>831</v>
      </c>
      <c r="D11" s="191" t="str">
        <f>VLOOKUP(C11,'BD  Materiales y equipos'!$B$3:$F$190,2,FALSE())</f>
        <v>Unidad</v>
      </c>
      <c r="E11" s="191" t="str">
        <f>VLOOKUP(C11,'BD  Materiales y equipos'!$B$3:$F$190,3,FALSE())</f>
        <v>XS</v>
      </c>
      <c r="F11" s="191">
        <f>VLOOKUP(C11,'BD  Materiales y equipos'!$B$3:$F$190,4,FALSE())</f>
        <v>0</v>
      </c>
      <c r="G11" s="133">
        <v>4</v>
      </c>
      <c r="H11" s="194">
        <f>VLOOKUP(C11,'BD  Materiales y equipos'!$B$3:$I$190,8,FALSE())*G11</f>
        <v>54.382660453091084</v>
      </c>
      <c r="I11" s="194">
        <f t="shared" si="2"/>
        <v>2033.5803906187091</v>
      </c>
      <c r="J11" s="194">
        <f t="shared" si="3"/>
        <v>1424.9487093856555</v>
      </c>
      <c r="K11" s="191" t="str">
        <f>VLOOKUP(C11,'BD  Materiales y equipos'!$B$3:$L$190,11,FALSE())</f>
        <v>IMPORTADO</v>
      </c>
      <c r="L11" s="436">
        <f t="shared" si="0"/>
        <v>1</v>
      </c>
      <c r="M11" s="421">
        <f t="shared" si="1"/>
        <v>1</v>
      </c>
      <c r="N11" s="194">
        <f>VLOOKUP(C11,'BD  Materiales y equipos'!$B$3:$K$190,9,FALSE())*0.811905633063426</f>
        <v>37.393911472441054</v>
      </c>
      <c r="O11" s="194">
        <f>VLOOKUP(C11,'BD  Materiales y equipos'!$B$3:$K$190,10,FALSE())*1.14265904837007</f>
        <v>26.202261851730761</v>
      </c>
    </row>
    <row r="12" spans="1:15" ht="13.5" thickBot="1">
      <c r="A12" s="584" t="str">
        <f>IF(VLOOKUP(C12,'BD  Materiales y equipos'!$B$3:$F$190,1,FALSE())=C12,"CORRECTO","NO LISTADO")</f>
        <v>CORRECTO</v>
      </c>
      <c r="B12" s="147" t="s">
        <v>411</v>
      </c>
      <c r="C12" s="147" t="s">
        <v>786</v>
      </c>
      <c r="D12" s="191" t="str">
        <f>VLOOKUP(C12,'BD  Materiales y equipos'!$B$3:$F$190,2,FALSE())</f>
        <v>Unidad</v>
      </c>
      <c r="E12" s="191" t="str">
        <f>VLOOKUP(C12,'BD  Materiales y equipos'!$B$3:$F$190,3,FALSE())</f>
        <v>STD</v>
      </c>
      <c r="F12" s="191">
        <f>VLOOKUP(C12,'BD  Materiales y equipos'!$B$3:$F$190,4,FALSE())</f>
        <v>0</v>
      </c>
      <c r="G12" s="133">
        <v>14</v>
      </c>
      <c r="H12" s="194">
        <f>VLOOKUP(C12,'BD  Materiales y equipos'!$B$3:$I$190,8,FALSE())*G12</f>
        <v>60.305524462833674</v>
      </c>
      <c r="I12" s="194">
        <f t="shared" si="2"/>
        <v>3653.2163367963135</v>
      </c>
      <c r="J12" s="194">
        <f t="shared" si="3"/>
        <v>1724.7072940473274</v>
      </c>
      <c r="K12" s="191" t="str">
        <f>VLOOKUP(C12,'BD  Materiales y equipos'!$B$3:$L$190,11,FALSE())</f>
        <v>IMPORTADO</v>
      </c>
      <c r="L12" s="436">
        <f t="shared" si="0"/>
        <v>1</v>
      </c>
      <c r="M12" s="421">
        <f t="shared" si="1"/>
        <v>1</v>
      </c>
      <c r="N12" s="194">
        <f>VLOOKUP(C12,'BD  Materiales y equipos'!$B$3:$K$190,9,FALSE())*0.811905633063426</f>
        <v>60.578468877221901</v>
      </c>
      <c r="O12" s="194">
        <f>VLOOKUP(C12,'BD  Materiales y equipos'!$B$3:$K$190,10,FALSE())*1.14265904837007</f>
        <v>28.599490832888211</v>
      </c>
    </row>
    <row r="13" spans="1:15" ht="13.5" thickBot="1">
      <c r="A13" s="584" t="str">
        <f>IF(VLOOKUP(C13,'BD  Materiales y equipos'!$B$3:$F$190,1,FALSE())=C13,"CORRECTO","NO LISTADO")</f>
        <v>CORRECTO</v>
      </c>
      <c r="B13" s="147" t="s">
        <v>411</v>
      </c>
      <c r="C13" s="147" t="s">
        <v>832</v>
      </c>
      <c r="D13" s="191" t="str">
        <f>VLOOKUP(C13,'BD  Materiales y equipos'!$B$3:$F$190,2,FALSE())</f>
        <v>Unidad</v>
      </c>
      <c r="E13" s="191" t="str">
        <f>VLOOKUP(C13,'BD  Materiales y equipos'!$B$3:$F$190,3,FALSE())</f>
        <v>XS</v>
      </c>
      <c r="F13" s="191">
        <f>VLOOKUP(C13,'BD  Materiales y equipos'!$B$3:$F$190,4,FALSE())</f>
        <v>0</v>
      </c>
      <c r="G13" s="133">
        <v>8</v>
      </c>
      <c r="H13" s="194">
        <f>VLOOKUP(C13,'BD  Materiales y equipos'!$B$3:$I$190,8,FALSE())*G13</f>
        <v>24.768340404378115</v>
      </c>
      <c r="I13" s="194">
        <f t="shared" si="2"/>
        <v>1713.60470830335</v>
      </c>
      <c r="J13" s="194">
        <f t="shared" si="3"/>
        <v>702.36623350388675</v>
      </c>
      <c r="K13" s="191" t="str">
        <f>VLOOKUP(C13,'BD  Materiales y equipos'!$B$3:$L$190,11,FALSE())</f>
        <v>IMPORTADO</v>
      </c>
      <c r="L13" s="436">
        <f t="shared" si="0"/>
        <v>1</v>
      </c>
      <c r="M13" s="421">
        <f t="shared" si="1"/>
        <v>1</v>
      </c>
      <c r="N13" s="194">
        <f>VLOOKUP(C13,'BD  Materiales y equipos'!$B$3:$K$190,9,FALSE())*0.811905633063426</f>
        <v>69.185285744879735</v>
      </c>
      <c r="O13" s="194">
        <f>VLOOKUP(C13,'BD  Materiales y equipos'!$B$3:$K$190,10,FALSE())*1.14265904837007</f>
        <v>28.357420078889689</v>
      </c>
    </row>
    <row r="14" spans="1:15" ht="13.5" thickBot="1">
      <c r="A14" s="584" t="str">
        <f>IF(VLOOKUP(C14,'BD  Materiales y equipos'!$B$3:$F$190,1,FALSE())=C14,"CORRECTO","NO LISTADO")</f>
        <v>CORRECTO</v>
      </c>
      <c r="B14" s="147" t="s">
        <v>411</v>
      </c>
      <c r="C14" s="147" t="s">
        <v>833</v>
      </c>
      <c r="D14" s="191" t="str">
        <f>VLOOKUP(C14,'BD  Materiales y equipos'!$B$3:$F$190,2,FALSE())</f>
        <v>Unidad</v>
      </c>
      <c r="E14" s="191" t="str">
        <f>VLOOKUP(C14,'BD  Materiales y equipos'!$B$3:$F$190,3,FALSE())</f>
        <v>STD</v>
      </c>
      <c r="F14" s="191">
        <f>VLOOKUP(C14,'BD  Materiales y equipos'!$B$3:$F$190,4,FALSE())</f>
        <v>0</v>
      </c>
      <c r="G14" s="133">
        <v>8</v>
      </c>
      <c r="H14" s="194">
        <f>VLOOKUP(C14,'BD  Materiales y equipos'!$B$3:$I$190,8,FALSE())*G14</f>
        <v>16.153265481116165</v>
      </c>
      <c r="I14" s="194">
        <f t="shared" si="2"/>
        <v>1385.9187685828038</v>
      </c>
      <c r="J14" s="194">
        <f t="shared" si="3"/>
        <v>462.136502522147</v>
      </c>
      <c r="K14" s="191" t="str">
        <f>VLOOKUP(C14,'BD  Materiales y equipos'!$B$3:$L$190,11,FALSE())</f>
        <v>IMPORTADO</v>
      </c>
      <c r="L14" s="436">
        <f t="shared" si="0"/>
        <v>1</v>
      </c>
      <c r="M14" s="421">
        <f t="shared" si="1"/>
        <v>1</v>
      </c>
      <c r="N14" s="194">
        <f>VLOOKUP(C14,'BD  Materiales y equipos'!$B$3:$K$190,9,FALSE())*0.811905633063426</f>
        <v>85.79805552029093</v>
      </c>
      <c r="O14" s="194">
        <f>VLOOKUP(C14,'BD  Materiales y equipos'!$B$3:$K$190,10,FALSE())*1.14265904837007</f>
        <v>28.609478564096136</v>
      </c>
    </row>
    <row r="15" spans="1:15" ht="13.5" thickBot="1">
      <c r="A15" s="584" t="str">
        <f>IF(VLOOKUP(C15,'BD  Materiales y equipos'!$B$3:$F$190,1,FALSE())=C15,"CORRECTO","NO LISTADO")</f>
        <v>CORRECTO</v>
      </c>
      <c r="B15" s="147" t="s">
        <v>411</v>
      </c>
      <c r="C15" s="147" t="s">
        <v>804</v>
      </c>
      <c r="D15" s="191" t="str">
        <f>VLOOKUP(C15,'BD  Materiales y equipos'!$B$3:$F$190,2,FALSE())</f>
        <v>Unidad</v>
      </c>
      <c r="E15" s="191" t="str">
        <f>VLOOKUP(C15,'BD  Materiales y equipos'!$B$3:$F$190,3,FALSE())</f>
        <v>XS</v>
      </c>
      <c r="F15" s="191">
        <f>VLOOKUP(C15,'BD  Materiales y equipos'!$B$3:$F$190,4,FALSE())</f>
        <v>0</v>
      </c>
      <c r="G15" s="133">
        <v>8</v>
      </c>
      <c r="H15" s="194">
        <f>VLOOKUP(C15,'BD  Materiales y equipos'!$B$3:$I$190,8,FALSE())*G15</f>
        <v>9.1535171059658254</v>
      </c>
      <c r="I15" s="194">
        <f t="shared" si="2"/>
        <v>1094.8565515369021</v>
      </c>
      <c r="J15" s="194">
        <f t="shared" si="3"/>
        <v>409.73573699568476</v>
      </c>
      <c r="K15" s="191" t="str">
        <f>VLOOKUP(C15,'BD  Materiales y equipos'!$B$3:$L$190,11,FALSE())</f>
        <v>IMPORTADO</v>
      </c>
      <c r="L15" s="436">
        <f t="shared" si="0"/>
        <v>1</v>
      </c>
      <c r="M15" s="421">
        <f t="shared" si="1"/>
        <v>1</v>
      </c>
      <c r="N15" s="194">
        <f>VLOOKUP(C15,'BD  Materiales y equipos'!$B$3:$K$190,9,FALSE())*0.811905633063426</f>
        <v>119.61047746590508</v>
      </c>
      <c r="O15" s="194">
        <f>VLOOKUP(C15,'BD  Materiales y equipos'!$B$3:$K$190,10,FALSE())*1.14265904837007</f>
        <v>44.762655955341863</v>
      </c>
    </row>
    <row r="16" spans="1:15" ht="13.5" thickBot="1">
      <c r="A16" s="584" t="str">
        <f>IF(VLOOKUP(C16,'BD  Materiales y equipos'!$B$3:$F$190,1,FALSE())=C16,"CORRECTO","NO LISTADO")</f>
        <v>CORRECTO</v>
      </c>
      <c r="B16" s="147" t="s">
        <v>411</v>
      </c>
      <c r="C16" s="147" t="s">
        <v>805</v>
      </c>
      <c r="D16" s="191" t="str">
        <f>VLOOKUP(C16,'BD  Materiales y equipos'!$B$3:$F$190,2,FALSE())</f>
        <v>Unidad</v>
      </c>
      <c r="E16" s="191" t="str">
        <f>VLOOKUP(C16,'BD  Materiales y equipos'!$B$3:$F$190,3,FALSE())</f>
        <v>XS</v>
      </c>
      <c r="F16" s="191">
        <f>VLOOKUP(C16,'BD  Materiales y equipos'!$B$3:$F$190,4,FALSE())</f>
        <v>0</v>
      </c>
      <c r="G16" s="133">
        <v>12</v>
      </c>
      <c r="H16" s="194">
        <f>VLOOKUP(C16,'BD  Materiales y equipos'!$B$3:$I$190,8,FALSE())*G16</f>
        <v>3.2306530962232327</v>
      </c>
      <c r="I16" s="194">
        <f t="shared" si="2"/>
        <v>549.3558401197472</v>
      </c>
      <c r="J16" s="194">
        <f t="shared" si="3"/>
        <v>181.30774499604718</v>
      </c>
      <c r="K16" s="191" t="str">
        <f>VLOOKUP(C16,'BD  Materiales y equipos'!$B$3:$L$190,11,FALSE())</f>
        <v>IMPORTADO</v>
      </c>
      <c r="L16" s="436">
        <f t="shared" si="0"/>
        <v>1</v>
      </c>
      <c r="M16" s="421">
        <f t="shared" si="1"/>
        <v>1</v>
      </c>
      <c r="N16" s="194">
        <f>VLOOKUP(C16,'BD  Materiales y equipos'!$B$3:$K$190,9,FALSE())*0.811905633063426</f>
        <v>170.04482491851786</v>
      </c>
      <c r="O16" s="194">
        <f>VLOOKUP(C16,'BD  Materiales y equipos'!$B$3:$K$190,10,FALSE())*1.14265904837007</f>
        <v>56.121081278582167</v>
      </c>
    </row>
    <row r="17" spans="1:15" ht="13.5" thickBot="1">
      <c r="A17" s="584" t="str">
        <f>IF(VLOOKUP(C17,'BD  Materiales y equipos'!$B$3:$F$190,1,FALSE())=C17,"CORRECTO","NO LISTADO")</f>
        <v>CORRECTO</v>
      </c>
      <c r="B17" s="147" t="s">
        <v>411</v>
      </c>
      <c r="C17" s="147" t="s">
        <v>719</v>
      </c>
      <c r="D17" s="191" t="str">
        <f>VLOOKUP(C17,'BD  Materiales y equipos'!$B$3:$F$190,2,FALSE())</f>
        <v>Unidad</v>
      </c>
      <c r="E17" s="191" t="str">
        <f>VLOOKUP(C17,'BD  Materiales y equipos'!$B$3:$F$190,3,FALSE())</f>
        <v>STD</v>
      </c>
      <c r="F17" s="191">
        <f>VLOOKUP(C17,'BD  Materiales y equipos'!$B$3:$F$190,4,FALSE())</f>
        <v>0</v>
      </c>
      <c r="G17" s="133">
        <v>8</v>
      </c>
      <c r="H17" s="194">
        <f>VLOOKUP(C17,'BD  Materiales y equipos'!$B$3:$I$190,8,FALSE())*G17</f>
        <v>6.4613061924464645</v>
      </c>
      <c r="I17" s="194">
        <f t="shared" si="2"/>
        <v>788.37381968061732</v>
      </c>
      <c r="J17" s="194">
        <f t="shared" si="3"/>
        <v>128.97445980584217</v>
      </c>
      <c r="K17" s="191" t="str">
        <f>VLOOKUP(C17,'BD  Materiales y equipos'!$B$3:$L$190,11,FALSE())</f>
        <v>IMPORTADO</v>
      </c>
      <c r="L17" s="436">
        <f t="shared" si="0"/>
        <v>1</v>
      </c>
      <c r="M17" s="421">
        <f t="shared" si="1"/>
        <v>1</v>
      </c>
      <c r="N17" s="194">
        <f>VLOOKUP(C17,'BD  Materiales y equipos'!$B$3:$K$190,9,FALSE())*0.811905633063426</f>
        <v>122.01461998539229</v>
      </c>
      <c r="O17" s="194">
        <f>VLOOKUP(C17,'BD  Materiales y equipos'!$B$3:$K$190,10,FALSE())*1.14265904837007</f>
        <v>19.961050593240525</v>
      </c>
    </row>
    <row r="18" spans="1:15" ht="13.5" thickBot="1">
      <c r="A18" s="584" t="str">
        <f>IF(VLOOKUP(C18,'BD  Materiales y equipos'!$B$3:$F$190,1,FALSE())=C18,"CORRECTO","NO LISTADO")</f>
        <v>CORRECTO</v>
      </c>
      <c r="B18" s="147" t="s">
        <v>411</v>
      </c>
      <c r="C18" s="147" t="s">
        <v>720</v>
      </c>
      <c r="D18" s="191" t="str">
        <f>VLOOKUP(C18,'BD  Materiales y equipos'!$B$3:$F$190,2,FALSE())</f>
        <v>Unidad</v>
      </c>
      <c r="E18" s="191" t="str">
        <f>VLOOKUP(C18,'BD  Materiales y equipos'!$B$3:$F$190,3,FALSE())</f>
        <v>STD</v>
      </c>
      <c r="F18" s="191">
        <f>VLOOKUP(C18,'BD  Materiales y equipos'!$B$3:$F$190,4,FALSE())</f>
        <v>0</v>
      </c>
      <c r="G18" s="133">
        <v>12</v>
      </c>
      <c r="H18" s="194">
        <f>VLOOKUP(C18,'BD  Materiales y equipos'!$B$3:$I$190,8,FALSE())*G18</f>
        <v>1.6153265481116164</v>
      </c>
      <c r="I18" s="194">
        <f t="shared" si="2"/>
        <v>399.00582071855268</v>
      </c>
      <c r="J18" s="194">
        <f t="shared" si="3"/>
        <v>80.508344288425889</v>
      </c>
      <c r="K18" s="191" t="str">
        <f>VLOOKUP(C18,'BD  Materiales y equipos'!$B$3:$L$190,11,FALSE())</f>
        <v>IMPORTADO</v>
      </c>
      <c r="L18" s="436">
        <f t="shared" si="0"/>
        <v>1</v>
      </c>
      <c r="M18" s="421">
        <f t="shared" si="1"/>
        <v>1</v>
      </c>
      <c r="N18" s="194">
        <f>VLOOKUP(C18,'BD  Materiales y equipos'!$B$3:$K$190,9,FALSE())*0.811905633063426</f>
        <v>247.01248251321505</v>
      </c>
      <c r="O18" s="194">
        <f>VLOOKUP(C18,'BD  Materiales y equipos'!$B$3:$K$190,10,FALSE())*1.14265904837007</f>
        <v>49.840290424585348</v>
      </c>
    </row>
    <row r="19" spans="1:15" ht="13.5" thickBot="1">
      <c r="A19" s="584" t="str">
        <f>IF(VLOOKUP(C19,'BD  Materiales y equipos'!$B$3:$F$190,1,FALSE())=C19,"CORRECTO","NO LISTADO")</f>
        <v>CORRECTO</v>
      </c>
      <c r="B19" s="147" t="s">
        <v>411</v>
      </c>
      <c r="C19" s="147" t="s">
        <v>806</v>
      </c>
      <c r="D19" s="191" t="str">
        <f>VLOOKUP(C19,'BD  Materiales y equipos'!$B$3:$F$190,2,FALSE())</f>
        <v>Unidad</v>
      </c>
      <c r="E19" s="191">
        <f>VLOOKUP(C19,'BD  Materiales y equipos'!$B$3:$F$190,3,FALSE())</f>
        <v>0</v>
      </c>
      <c r="F19" s="191" t="str">
        <f>VLOOKUP(C19,'BD  Materiales y equipos'!$B$3:$F$190,4,FALSE())</f>
        <v>900#</v>
      </c>
      <c r="G19" s="133">
        <v>6</v>
      </c>
      <c r="H19" s="194">
        <f>VLOOKUP(C19,'BD  Materiales y equipos'!$B$3:$I$190,8,FALSE())*G19</f>
        <v>300.45073794876066</v>
      </c>
      <c r="I19" s="194">
        <f t="shared" si="2"/>
        <v>2716.4200620658007</v>
      </c>
      <c r="J19" s="194">
        <f t="shared" si="3"/>
        <v>1902.5435151948361</v>
      </c>
      <c r="K19" s="191" t="str">
        <f>VLOOKUP(C19,'BD  Materiales y equipos'!$B$3:$L$190,11,FALSE())</f>
        <v>IMPORTADO</v>
      </c>
      <c r="L19" s="436">
        <f t="shared" si="0"/>
        <v>1</v>
      </c>
      <c r="M19" s="421">
        <f t="shared" si="1"/>
        <v>1</v>
      </c>
      <c r="N19" s="194">
        <f>VLOOKUP(C19,'BD  Materiales y equipos'!$B$3:$K$190,9,FALSE())*0.811905633063426</f>
        <v>9.0411495761713301</v>
      </c>
      <c r="O19" s="194">
        <f>VLOOKUP(C19,'BD  Materiales y equipos'!$B$3:$K$190,10,FALSE())*1.14265904837007</f>
        <v>6.3322976944037288</v>
      </c>
    </row>
    <row r="20" spans="1:15" ht="13.5" thickBot="1">
      <c r="A20" s="584" t="str">
        <f>IF(VLOOKUP(C20,'BD  Materiales y equipos'!$B$3:$F$190,1,FALSE())=C20,"CORRECTO","NO LISTADO")</f>
        <v>CORRECTO</v>
      </c>
      <c r="B20" s="147" t="s">
        <v>411</v>
      </c>
      <c r="C20" s="147" t="s">
        <v>808</v>
      </c>
      <c r="D20" s="191" t="str">
        <f>VLOOKUP(C20,'BD  Materiales y equipos'!$B$3:$F$190,2,FALSE())</f>
        <v>Unidad</v>
      </c>
      <c r="E20" s="191">
        <f>VLOOKUP(C20,'BD  Materiales y equipos'!$B$3:$F$190,3,FALSE())</f>
        <v>0</v>
      </c>
      <c r="F20" s="191" t="str">
        <f>VLOOKUP(C20,'BD  Materiales y equipos'!$B$3:$F$190,4,FALSE())</f>
        <v>900#</v>
      </c>
      <c r="G20" s="133">
        <v>3</v>
      </c>
      <c r="H20" s="194">
        <f>VLOOKUP(C20,'BD  Materiales y equipos'!$B$3:$I$190,8,FALSE())*G20</f>
        <v>75.516516124218072</v>
      </c>
      <c r="I20" s="194">
        <f t="shared" si="2"/>
        <v>494.42025610777199</v>
      </c>
      <c r="J20" s="194">
        <f t="shared" si="3"/>
        <v>478.19306094278812</v>
      </c>
      <c r="K20" s="191" t="str">
        <f>VLOOKUP(C20,'BD  Materiales y equipos'!$B$3:$L$190,11,FALSE())</f>
        <v>IMPORTADO</v>
      </c>
      <c r="L20" s="436">
        <f t="shared" si="0"/>
        <v>1</v>
      </c>
      <c r="M20" s="421">
        <f t="shared" si="1"/>
        <v>1</v>
      </c>
      <c r="N20" s="194">
        <f>VLOOKUP(C20,'BD  Materiales y equipos'!$B$3:$K$190,9,FALSE())*0.811905633063426</f>
        <v>6.5471804246701986</v>
      </c>
      <c r="O20" s="194">
        <f>VLOOKUP(C20,'BD  Materiales y equipos'!$B$3:$K$190,10,FALSE())*1.14265904837007</f>
        <v>6.3322976944037288</v>
      </c>
    </row>
    <row r="21" spans="1:15" ht="13.5" thickBot="1">
      <c r="A21" s="584" t="str">
        <f>IF(VLOOKUP(C21,'BD  Materiales y equipos'!$B$3:$F$190,1,FALSE())=C21,"CORRECTO","NO LISTADO")</f>
        <v>CORRECTO</v>
      </c>
      <c r="B21" s="147" t="s">
        <v>411</v>
      </c>
      <c r="C21" s="147" t="s">
        <v>834</v>
      </c>
      <c r="D21" s="191" t="str">
        <f>VLOOKUP(C21,'BD  Materiales y equipos'!$B$3:$F$190,2,FALSE())</f>
        <v>Unidad</v>
      </c>
      <c r="E21" s="191">
        <f>VLOOKUP(C21,'BD  Materiales y equipos'!$B$3:$F$190,3,FALSE())</f>
        <v>0</v>
      </c>
      <c r="F21" s="191" t="str">
        <f>VLOOKUP(C21,'BD  Materiales y equipos'!$B$3:$F$190,4,FALSE())</f>
        <v>900#</v>
      </c>
      <c r="G21" s="133">
        <v>6</v>
      </c>
      <c r="H21" s="194">
        <f>VLOOKUP(C21,'BD  Materiales y equipos'!$B$3:$I$190,8,FALSE())*G21</f>
        <v>88.842960146138893</v>
      </c>
      <c r="I21" s="194">
        <f t="shared" si="2"/>
        <v>1309.7799767065521</v>
      </c>
      <c r="J21" s="194">
        <f t="shared" si="3"/>
        <v>749.0902367033101</v>
      </c>
      <c r="K21" s="191" t="str">
        <f>VLOOKUP(C21,'BD  Materiales y equipos'!$B$3:$L$190,11,FALSE())</f>
        <v>IMPORTADO</v>
      </c>
      <c r="L21" s="436">
        <f t="shared" si="0"/>
        <v>1</v>
      </c>
      <c r="M21" s="421">
        <f t="shared" si="1"/>
        <v>1</v>
      </c>
      <c r="N21" s="194">
        <f>VLOOKUP(C21,'BD  Materiales y equipos'!$B$3:$K$190,9,FALSE())*0.811905633063426</f>
        <v>14.742642236954721</v>
      </c>
      <c r="O21" s="194">
        <f>VLOOKUP(C21,'BD  Materiales y equipos'!$B$3:$K$190,10,FALSE())*1.14265904837007</f>
        <v>8.4316217680176599</v>
      </c>
    </row>
    <row r="22" spans="1:15" ht="13.5" thickBot="1">
      <c r="A22" s="584" t="str">
        <f>IF(VLOOKUP(C22,'BD  Materiales y equipos'!$B$3:$F$190,1,FALSE())=C22,"CORRECTO","NO LISTADO")</f>
        <v>CORRECTO</v>
      </c>
      <c r="B22" s="147" t="s">
        <v>411</v>
      </c>
      <c r="C22" s="147" t="s">
        <v>773</v>
      </c>
      <c r="D22" s="191" t="str">
        <f>VLOOKUP(C22,'BD  Materiales y equipos'!$B$3:$F$190,2,FALSE())</f>
        <v>Unidad</v>
      </c>
      <c r="E22" s="191">
        <f>VLOOKUP(C22,'BD  Materiales y equipos'!$B$3:$F$190,3,FALSE())</f>
        <v>0</v>
      </c>
      <c r="F22" s="191" t="str">
        <f>VLOOKUP(C22,'BD  Materiales y equipos'!$B$3:$F$190,4,FALSE())</f>
        <v>300#</v>
      </c>
      <c r="G22" s="133">
        <v>10</v>
      </c>
      <c r="H22" s="194">
        <f>VLOOKUP(C22,'BD  Materiales y equipos'!$B$3:$I$190,8,FALSE())*G22</f>
        <v>55.190323727146897</v>
      </c>
      <c r="I22" s="194">
        <f t="shared" si="2"/>
        <v>1195.0898978043601</v>
      </c>
      <c r="J22" s="194">
        <f t="shared" si="3"/>
        <v>456.21954404093464</v>
      </c>
      <c r="K22" s="191" t="str">
        <f>VLOOKUP(C22,'BD  Materiales y equipos'!$B$3:$L$190,11,FALSE())</f>
        <v>IMPORTADO</v>
      </c>
      <c r="L22" s="436">
        <f t="shared" si="0"/>
        <v>1</v>
      </c>
      <c r="M22" s="421">
        <f t="shared" si="1"/>
        <v>1</v>
      </c>
      <c r="N22" s="194">
        <f>VLOOKUP(C22,'BD  Materiales y equipos'!$B$3:$K$190,9,FALSE())*0.811905633063426</f>
        <v>21.65397513724896</v>
      </c>
      <c r="O22" s="194">
        <f>VLOOKUP(C22,'BD  Materiales y equipos'!$B$3:$K$190,10,FALSE())*1.14265904837007</f>
        <v>8.2662958509977056</v>
      </c>
    </row>
    <row r="23" spans="1:15" ht="13.5" thickBot="1">
      <c r="A23" s="584" t="str">
        <f>IF(VLOOKUP(C23,'BD  Materiales y equipos'!$B$3:$F$190,1,FALSE())=C23,"CORRECTO","NO LISTADO")</f>
        <v>CORRECTO</v>
      </c>
      <c r="B23" s="147" t="s">
        <v>411</v>
      </c>
      <c r="C23" s="147" t="s">
        <v>835</v>
      </c>
      <c r="D23" s="191" t="str">
        <f>VLOOKUP(C23,'BD  Materiales y equipos'!$B$3:$F$190,2,FALSE())</f>
        <v>Unidad</v>
      </c>
      <c r="E23" s="191">
        <f>VLOOKUP(C23,'BD  Materiales y equipos'!$B$3:$F$190,3,FALSE())</f>
        <v>0</v>
      </c>
      <c r="F23" s="191" t="str">
        <f>VLOOKUP(C23,'BD  Materiales y equipos'!$B$3:$F$190,4,FALSE())</f>
        <v>150#</v>
      </c>
      <c r="G23" s="133">
        <v>16</v>
      </c>
      <c r="H23" s="194">
        <f>VLOOKUP(C23,'BD  Materiales y equipos'!$B$3:$I$190,8,FALSE())*G23</f>
        <v>86.150749232619532</v>
      </c>
      <c r="I23" s="194">
        <f t="shared" si="2"/>
        <v>2355.4836372853656</v>
      </c>
      <c r="J23" s="194">
        <f t="shared" si="3"/>
        <v>1156.2415957784442</v>
      </c>
      <c r="K23" s="191" t="str">
        <f>VLOOKUP(C23,'BD  Materiales y equipos'!$B$3:$L$190,11,FALSE())</f>
        <v>IMPORTADO</v>
      </c>
      <c r="L23" s="436">
        <f t="shared" si="0"/>
        <v>1</v>
      </c>
      <c r="M23" s="421">
        <f t="shared" si="1"/>
        <v>1</v>
      </c>
      <c r="N23" s="194">
        <f>VLOOKUP(C23,'BD  Materiales y equipos'!$B$3:$K$190,9,FALSE())*0.811905633063426</f>
        <v>27.341417901372139</v>
      </c>
      <c r="O23" s="194">
        <f>VLOOKUP(C23,'BD  Materiales y equipos'!$B$3:$K$190,10,FALSE())*1.14265904837007</f>
        <v>13.421143821470711</v>
      </c>
    </row>
    <row r="24" spans="1:15" ht="13.5" thickBot="1">
      <c r="A24" s="584" t="str">
        <f>IF(VLOOKUP(C24,'BD  Materiales y equipos'!$B$3:$F$190,1,FALSE())=C24,"CORRECTO","NO LISTADO")</f>
        <v>CORRECTO</v>
      </c>
      <c r="B24" s="147" t="s">
        <v>411</v>
      </c>
      <c r="C24" s="147" t="s">
        <v>809</v>
      </c>
      <c r="D24" s="191" t="str">
        <f>VLOOKUP(C24,'BD  Materiales y equipos'!$B$3:$F$190,2,FALSE())</f>
        <v>Unidad</v>
      </c>
      <c r="E24" s="191">
        <f>VLOOKUP(C24,'BD  Materiales y equipos'!$B$3:$F$190,3,FALSE())</f>
        <v>0</v>
      </c>
      <c r="F24" s="191" t="str">
        <f>VLOOKUP(C24,'BD  Materiales y equipos'!$B$3:$F$190,4,FALSE())</f>
        <v>900#</v>
      </c>
      <c r="G24" s="133">
        <v>8</v>
      </c>
      <c r="H24" s="194">
        <f>VLOOKUP(C24,'BD  Materiales y equipos'!$B$3:$I$190,8,FALSE())*G24</f>
        <v>54.921102635794952</v>
      </c>
      <c r="I24" s="194">
        <f t="shared" si="2"/>
        <v>1094.8565515368975</v>
      </c>
      <c r="J24" s="194">
        <f t="shared" si="3"/>
        <v>633.33283243431492</v>
      </c>
      <c r="K24" s="191" t="str">
        <f>VLOOKUP(C24,'BD  Materiales y equipos'!$B$3:$L$190,11,FALSE())</f>
        <v>IMPORTADO</v>
      </c>
      <c r="L24" s="436">
        <f t="shared" si="0"/>
        <v>1</v>
      </c>
      <c r="M24" s="421">
        <f t="shared" si="1"/>
        <v>1</v>
      </c>
      <c r="N24" s="194">
        <f>VLOOKUP(C24,'BD  Materiales y equipos'!$B$3:$K$190,9,FALSE())*0.811905633063426</f>
        <v>19.935079577650765</v>
      </c>
      <c r="O24" s="194">
        <f>VLOOKUP(C24,'BD  Materiales y equipos'!$B$3:$K$190,10,FALSE())*1.14265904837007</f>
        <v>11.531684580956297</v>
      </c>
    </row>
    <row r="25" spans="1:15" ht="13.5" thickBot="1">
      <c r="A25" s="584" t="str">
        <f>IF(VLOOKUP(C25,'BD  Materiales y equipos'!$B$3:$F$190,1,FALSE())=C25,"CORRECTO","NO LISTADO")</f>
        <v>CORRECTO</v>
      </c>
      <c r="B25" s="147" t="s">
        <v>411</v>
      </c>
      <c r="C25" s="147" t="s">
        <v>810</v>
      </c>
      <c r="D25" s="191" t="str">
        <f>VLOOKUP(C25,'BD  Materiales y equipos'!$B$3:$F$190,2,FALSE())</f>
        <v>Unidad</v>
      </c>
      <c r="E25" s="191">
        <f>VLOOKUP(C25,'BD  Materiales y equipos'!$B$3:$F$190,3,FALSE())</f>
        <v>0</v>
      </c>
      <c r="F25" s="191" t="str">
        <f>VLOOKUP(C25,'BD  Materiales y equipos'!$B$3:$F$190,4,FALSE())</f>
        <v>900#</v>
      </c>
      <c r="G25" s="133">
        <v>12</v>
      </c>
      <c r="H25" s="194">
        <f>VLOOKUP(C25,'BD  Materiales y equipos'!$B$3:$I$190,8,FALSE())*G25</f>
        <v>24.229898221674247</v>
      </c>
      <c r="I25" s="194">
        <f t="shared" si="2"/>
        <v>711.27124562872405</v>
      </c>
      <c r="J25" s="194">
        <f t="shared" si="3"/>
        <v>336.13684463981991</v>
      </c>
      <c r="K25" s="191" t="str">
        <f>VLOOKUP(C25,'BD  Materiales y equipos'!$B$3:$L$190,11,FALSE())</f>
        <v>IMPORTADO</v>
      </c>
      <c r="L25" s="436">
        <f t="shared" si="0"/>
        <v>1</v>
      </c>
      <c r="M25" s="421">
        <f t="shared" si="1"/>
        <v>1</v>
      </c>
      <c r="N25" s="194">
        <f>VLOOKUP(C25,'BD  Materiales y equipos'!$B$3:$K$190,9,FALSE())*0.811905633063426</f>
        <v>29.355106617512501</v>
      </c>
      <c r="O25" s="194">
        <f>VLOOKUP(C25,'BD  Materiales y equipos'!$B$3:$K$190,10,FALSE())*1.14265904837007</f>
        <v>13.872812901010748</v>
      </c>
    </row>
    <row r="26" spans="1:15" ht="13.5" thickBot="1">
      <c r="A26" s="584" t="str">
        <f>IF(VLOOKUP(C26,'BD  Materiales y equipos'!$B$3:$F$190,1,FALSE())=C26,"CORRECTO","NO LISTADO")</f>
        <v>CORRECTO</v>
      </c>
      <c r="B26" s="147" t="s">
        <v>411</v>
      </c>
      <c r="C26" s="147" t="s">
        <v>724</v>
      </c>
      <c r="D26" s="191" t="str">
        <f>VLOOKUP(C26,'BD  Materiales y equipos'!$B$3:$F$190,2,FALSE())</f>
        <v>Unidad</v>
      </c>
      <c r="E26" s="191">
        <f>VLOOKUP(C26,'BD  Materiales y equipos'!$B$3:$F$190,3,FALSE())</f>
        <v>0</v>
      </c>
      <c r="F26" s="191" t="str">
        <f>VLOOKUP(C26,'BD  Materiales y equipos'!$B$3:$F$190,4,FALSE())</f>
        <v>150#</v>
      </c>
      <c r="G26" s="133">
        <v>12</v>
      </c>
      <c r="H26" s="194">
        <f>VLOOKUP(C26,'BD  Materiales y equipos'!$B$3:$I$190,8,FALSE())*G26</f>
        <v>25.845224769785862</v>
      </c>
      <c r="I26" s="194">
        <f t="shared" si="2"/>
        <v>745.96740395207667</v>
      </c>
      <c r="J26" s="194">
        <f t="shared" si="3"/>
        <v>609.40733518675563</v>
      </c>
      <c r="K26" s="191" t="str">
        <f>VLOOKUP(C26,'BD  Materiales y equipos'!$B$3:$L$190,11,FALSE())</f>
        <v>IMPORTADO</v>
      </c>
      <c r="L26" s="436">
        <f t="shared" si="0"/>
        <v>1</v>
      </c>
      <c r="M26" s="421">
        <f t="shared" si="1"/>
        <v>1</v>
      </c>
      <c r="N26" s="194">
        <f>VLOOKUP(C26,'BD  Materiales y equipos'!$B$3:$K$190,9,FALSE())*0.811905633063426</f>
        <v>28.862871598011537</v>
      </c>
      <c r="O26" s="194">
        <f>VLOOKUP(C26,'BD  Materiales y equipos'!$B$3:$K$190,10,FALSE())*1.14265904837007</f>
        <v>23.579107576544587</v>
      </c>
    </row>
    <row r="27" spans="1:15" ht="13.5" thickBot="1">
      <c r="A27" s="584" t="str">
        <f>IF(VLOOKUP(C27,'BD  Materiales y equipos'!$B$3:$F$190,1,FALSE())=C27,"CORRECTO","NO LISTADO")</f>
        <v>CORRECTO</v>
      </c>
      <c r="B27" s="147" t="s">
        <v>411</v>
      </c>
      <c r="C27" s="147" t="s">
        <v>725</v>
      </c>
      <c r="D27" s="191" t="str">
        <f>VLOOKUP(C27,'BD  Materiales y equipos'!$B$3:$F$190,2,FALSE())</f>
        <v>Unidad</v>
      </c>
      <c r="E27" s="191">
        <f>VLOOKUP(C27,'BD  Materiales y equipos'!$B$3:$F$190,3,FALSE())</f>
        <v>0</v>
      </c>
      <c r="F27" s="191" t="str">
        <f>VLOOKUP(C27,'BD  Materiales y equipos'!$B$3:$F$190,4,FALSE())</f>
        <v>150#</v>
      </c>
      <c r="G27" s="133">
        <v>16</v>
      </c>
      <c r="H27" s="194">
        <f>VLOOKUP(C27,'BD  Materiales y equipos'!$B$3:$I$190,8,FALSE())*G27</f>
        <v>13.999496750300674</v>
      </c>
      <c r="I27" s="194">
        <f t="shared" si="2"/>
        <v>462.61544431136502</v>
      </c>
      <c r="J27" s="194">
        <f t="shared" si="3"/>
        <v>591.53138668794395</v>
      </c>
      <c r="K27" s="191" t="str">
        <f>VLOOKUP(C27,'BD  Materiales y equipos'!$B$3:$L$190,11,FALSE())</f>
        <v>IMPORTADO</v>
      </c>
      <c r="L27" s="436">
        <f t="shared" si="0"/>
        <v>1</v>
      </c>
      <c r="M27" s="421">
        <f t="shared" si="1"/>
        <v>1</v>
      </c>
      <c r="N27" s="194">
        <f>VLOOKUP(C27,'BD  Materiales y equipos'!$B$3:$K$190,9,FALSE())*0.811905633063426</f>
        <v>33.045148162302993</v>
      </c>
      <c r="O27" s="194">
        <f>VLOOKUP(C27,'BD  Materiales y equipos'!$B$3:$K$190,10,FALSE())*1.14265904837007</f>
        <v>42.253760777167891</v>
      </c>
    </row>
    <row r="28" spans="1:15" ht="13.5" thickBot="1">
      <c r="A28" s="584" t="str">
        <f>IF(VLOOKUP(C28,'BD  Materiales y equipos'!$B$3:$F$190,1,FALSE())=C28,"CORRECTO","NO LISTADO")</f>
        <v>CORRECTO</v>
      </c>
      <c r="B28" s="147" t="s">
        <v>411</v>
      </c>
      <c r="C28" s="147" t="s">
        <v>813</v>
      </c>
      <c r="D28" s="191" t="str">
        <f>VLOOKUP(C28,'BD  Materiales y equipos'!$B$3:$F$190,2,FALSE())</f>
        <v>Unidad</v>
      </c>
      <c r="E28" s="191" t="str">
        <f>VLOOKUP(C28,'BD  Materiales y equipos'!$B$3:$F$190,3,FALSE())</f>
        <v>XS</v>
      </c>
      <c r="F28" s="191">
        <f>VLOOKUP(C28,'BD  Materiales y equipos'!$B$3:$F$190,4,FALSE())</f>
        <v>0</v>
      </c>
      <c r="G28" s="133">
        <v>1</v>
      </c>
      <c r="H28" s="194">
        <f>VLOOKUP(C28,'BD  Materiales y equipos'!$B$3:$I$190,8,FALSE())*G28</f>
        <v>21.133855671126977</v>
      </c>
      <c r="I28" s="194">
        <f t="shared" si="2"/>
        <v>299.97720217065023</v>
      </c>
      <c r="J28" s="194">
        <f t="shared" si="3"/>
        <v>244.74194773627991</v>
      </c>
      <c r="K28" s="191" t="str">
        <f>VLOOKUP(C28,'BD  Materiales y equipos'!$B$3:$L$190,11,FALSE())</f>
        <v>IMPORTADO</v>
      </c>
      <c r="L28" s="436">
        <f t="shared" si="0"/>
        <v>1</v>
      </c>
      <c r="M28" s="421">
        <f t="shared" si="1"/>
        <v>1</v>
      </c>
      <c r="N28" s="194">
        <f>VLOOKUP(C28,'BD  Materiales y equipos'!$B$3:$K$190,9,FALSE())*0.811905633063426</f>
        <v>14.194154007613404</v>
      </c>
      <c r="O28" s="194">
        <f>VLOOKUP(C28,'BD  Materiales y equipos'!$B$3:$K$190,10,FALSE())*1.14265904837007</f>
        <v>11.580563033306117</v>
      </c>
    </row>
    <row r="29" spans="1:15" ht="13.5" thickBot="1">
      <c r="A29" s="584" t="str">
        <f>IF(VLOOKUP(C29,'BD  Materiales y equipos'!$B$3:$F$190,1,FALSE())=C29,"CORRECTO","NO LISTADO")</f>
        <v>CORRECTO</v>
      </c>
      <c r="B29" s="147" t="s">
        <v>411</v>
      </c>
      <c r="C29" s="147" t="s">
        <v>815</v>
      </c>
      <c r="D29" s="191" t="str">
        <f>VLOOKUP(C29,'BD  Materiales y equipos'!$B$3:$F$190,2,FALSE())</f>
        <v>Unidad</v>
      </c>
      <c r="E29" s="191" t="str">
        <f>VLOOKUP(C29,'BD  Materiales y equipos'!$B$3:$F$190,3,FALSE())</f>
        <v>XS</v>
      </c>
      <c r="F29" s="191">
        <f>VLOOKUP(C29,'BD  Materiales y equipos'!$B$3:$F$190,4,FALSE())</f>
        <v>0</v>
      </c>
      <c r="G29" s="133">
        <v>1</v>
      </c>
      <c r="H29" s="194">
        <f>VLOOKUP(C29,'BD  Materiales y equipos'!$B$3:$I$190,8,FALSE())*G29</f>
        <v>22.210740036534723</v>
      </c>
      <c r="I29" s="194">
        <f t="shared" si="2"/>
        <v>252.26998447604089</v>
      </c>
      <c r="J29" s="194">
        <f t="shared" si="3"/>
        <v>257.21287500946619</v>
      </c>
      <c r="K29" s="191" t="str">
        <f>VLOOKUP(C29,'BD  Materiales y equipos'!$B$3:$L$190,11,FALSE())</f>
        <v>IMPORTADO</v>
      </c>
      <c r="L29" s="436">
        <f t="shared" si="0"/>
        <v>1</v>
      </c>
      <c r="M29" s="421">
        <f t="shared" si="1"/>
        <v>1</v>
      </c>
      <c r="N29" s="194">
        <f>VLOOKUP(C29,'BD  Materiales y equipos'!$B$3:$K$190,9,FALSE())*0.811905633063426</f>
        <v>11.358017970633975</v>
      </c>
      <c r="O29" s="194">
        <f>VLOOKUP(C29,'BD  Materiales y equipos'!$B$3:$K$190,10,FALSE())*1.14265904837007</f>
        <v>11.580563033306117</v>
      </c>
    </row>
    <row r="30" spans="1:15" ht="13.5" thickBot="1">
      <c r="A30" s="584" t="str">
        <f>IF(VLOOKUP(C30,'BD  Materiales y equipos'!$B$3:$F$190,1,FALSE())=C30,"CORRECTO","NO LISTADO")</f>
        <v>CORRECTO</v>
      </c>
      <c r="B30" s="147" t="s">
        <v>411</v>
      </c>
      <c r="C30" s="147" t="s">
        <v>836</v>
      </c>
      <c r="D30" s="191" t="str">
        <f>VLOOKUP(C30,'BD  Materiales y equipos'!$B$3:$F$190,2,FALSE())</f>
        <v>Unidad</v>
      </c>
      <c r="E30" s="191" t="str">
        <f>VLOOKUP(C30,'BD  Materiales y equipos'!$B$3:$F$190,3,FALSE())</f>
        <v>XS</v>
      </c>
      <c r="F30" s="191">
        <f>VLOOKUP(C30,'BD  Materiales y equipos'!$B$3:$F$190,4,FALSE())</f>
        <v>0</v>
      </c>
      <c r="G30" s="133">
        <v>1</v>
      </c>
      <c r="H30" s="194">
        <f>VLOOKUP(C30,'BD  Materiales y equipos'!$B$3:$I$190,8,FALSE())*G30</f>
        <v>22.210740036534723</v>
      </c>
      <c r="I30" s="194">
        <f t="shared" si="2"/>
        <v>252.26998447604089</v>
      </c>
      <c r="J30" s="194">
        <f t="shared" si="3"/>
        <v>257.21287500946619</v>
      </c>
      <c r="K30" s="191" t="str">
        <f>VLOOKUP(C30,'BD  Materiales y equipos'!$B$3:$L$190,11,FALSE())</f>
        <v>IMPORTADO</v>
      </c>
      <c r="L30" s="436">
        <f t="shared" si="0"/>
        <v>1</v>
      </c>
      <c r="M30" s="421">
        <f t="shared" si="1"/>
        <v>1</v>
      </c>
      <c r="N30" s="194">
        <f>VLOOKUP(C30,'BD  Materiales y equipos'!$B$3:$K$190,9,FALSE())*0.811905633063426</f>
        <v>11.358017970633975</v>
      </c>
      <c r="O30" s="194">
        <f>VLOOKUP(C30,'BD  Materiales y equipos'!$B$3:$K$190,10,FALSE())*1.14265904837007</f>
        <v>11.580563033306117</v>
      </c>
    </row>
    <row r="31" spans="1:15" ht="13.5" thickBot="1">
      <c r="A31" s="584" t="str">
        <f>IF(VLOOKUP(C31,'BD  Materiales y equipos'!$B$3:$F$190,1,FALSE())=C31,"CORRECTO","NO LISTADO")</f>
        <v>CORRECTO</v>
      </c>
      <c r="B31" s="147" t="s">
        <v>411</v>
      </c>
      <c r="C31" s="147" t="s">
        <v>787</v>
      </c>
      <c r="D31" s="191" t="str">
        <f>VLOOKUP(C31,'BD  Materiales y equipos'!$B$3:$F$190,2,FALSE())</f>
        <v>Unidad</v>
      </c>
      <c r="E31" s="191" t="str">
        <f>VLOOKUP(C31,'BD  Materiales y equipos'!$B$3:$F$190,3,FALSE())</f>
        <v>STD</v>
      </c>
      <c r="F31" s="191">
        <f>VLOOKUP(C31,'BD  Materiales y equipos'!$B$3:$F$190,4,FALSE())</f>
        <v>0</v>
      </c>
      <c r="G31" s="133">
        <v>4</v>
      </c>
      <c r="H31" s="194">
        <f>VLOOKUP(C31,'BD  Materiales y equipos'!$B$3:$I$190,8,FALSE())*G31</f>
        <v>29.075877866009094</v>
      </c>
      <c r="I31" s="194">
        <f t="shared" si="2"/>
        <v>1094.8565515368985</v>
      </c>
      <c r="J31" s="194">
        <f t="shared" si="3"/>
        <v>363.65223928610942</v>
      </c>
      <c r="K31" s="191" t="str">
        <f>VLOOKUP(C31,'BD  Materiales y equipos'!$B$3:$L$190,11,FALSE())</f>
        <v>IMPORTADO</v>
      </c>
      <c r="L31" s="436">
        <f t="shared" si="0"/>
        <v>1</v>
      </c>
      <c r="M31" s="421">
        <f t="shared" si="1"/>
        <v>1</v>
      </c>
      <c r="N31" s="194">
        <f>VLOOKUP(C31,'BD  Materiales y equipos'!$B$3:$K$190,9,FALSE())*0.811905633063426</f>
        <v>37.655150313340364</v>
      </c>
      <c r="O31" s="194">
        <f>VLOOKUP(C31,'BD  Materiales y equipos'!$B$3:$K$190,10,FALSE())*1.14265904837007</f>
        <v>12.50700807597056</v>
      </c>
    </row>
    <row r="32" spans="1:15" ht="13.5" thickBot="1">
      <c r="A32" s="584" t="str">
        <f>IF(VLOOKUP(C32,'BD  Materiales y equipos'!$B$3:$F$190,1,FALSE())=C32,"CORRECTO","NO LISTADO")</f>
        <v>CORRECTO</v>
      </c>
      <c r="B32" s="147" t="s">
        <v>411</v>
      </c>
      <c r="C32" s="147" t="s">
        <v>816</v>
      </c>
      <c r="D32" s="191" t="str">
        <f>VLOOKUP(C32,'BD  Materiales y equipos'!$B$3:$F$190,2,FALSE())</f>
        <v>Junta</v>
      </c>
      <c r="E32" s="191">
        <f>VLOOKUP(C32,'BD  Materiales y equipos'!$B$3:$F$190,3,FALSE())</f>
        <v>0</v>
      </c>
      <c r="F32" s="191" t="str">
        <f>VLOOKUP(C32,'BD  Materiales y equipos'!$B$3:$F$190,4,FALSE())</f>
        <v>900#</v>
      </c>
      <c r="G32" s="133">
        <v>6</v>
      </c>
      <c r="H32" s="194">
        <f>VLOOKUP(C32,'BD  Materiales y equipos'!$B$3:$I$190,8,FALSE())*G32</f>
        <v>121.14949110837122</v>
      </c>
      <c r="I32" s="194">
        <f t="shared" si="2"/>
        <v>14.162402672199745</v>
      </c>
      <c r="J32" s="194">
        <f t="shared" si="3"/>
        <v>0</v>
      </c>
      <c r="K32" s="191" t="str">
        <f>VLOOKUP(C32,'BD  Materiales y equipos'!$B$3:$L$190,11,FALSE())</f>
        <v>IMPORTADO</v>
      </c>
      <c r="L32" s="436">
        <f t="shared" si="0"/>
        <v>1</v>
      </c>
      <c r="M32" s="421">
        <f t="shared" si="1"/>
        <v>1</v>
      </c>
      <c r="N32" s="194">
        <f>VLOOKUP(C32,'BD  Materiales y equipos'!$B$3:$K$190,9,FALSE())*0.811905633063426</f>
        <v>0.11690022419930039</v>
      </c>
      <c r="O32" s="194">
        <f>VLOOKUP(C32,'BD  Materiales y equipos'!$B$3:$K$190,10,FALSE())*1.14265904837007</f>
        <v>0</v>
      </c>
    </row>
    <row r="33" spans="1:15" ht="13.5" thickBot="1">
      <c r="A33" s="584" t="str">
        <f>IF(VLOOKUP(C33,'BD  Materiales y equipos'!$B$3:$F$190,1,FALSE())=C33,"CORRECTO","NO LISTADO")</f>
        <v>CORRECTO</v>
      </c>
      <c r="B33" s="147" t="s">
        <v>411</v>
      </c>
      <c r="C33" s="147" t="s">
        <v>818</v>
      </c>
      <c r="D33" s="191" t="str">
        <f>VLOOKUP(C33,'BD  Materiales y equipos'!$B$3:$F$190,2,FALSE())</f>
        <v>Junta</v>
      </c>
      <c r="E33" s="191">
        <f>VLOOKUP(C33,'BD  Materiales y equipos'!$B$3:$F$190,3,FALSE())</f>
        <v>0</v>
      </c>
      <c r="F33" s="191" t="str">
        <f>VLOOKUP(C33,'BD  Materiales y equipos'!$B$3:$F$190,4,FALSE())</f>
        <v>900#</v>
      </c>
      <c r="G33" s="133">
        <v>2</v>
      </c>
      <c r="H33" s="194">
        <f>VLOOKUP(C33,'BD  Materiales y equipos'!$B$3:$I$190,8,FALSE())*G33</f>
        <v>21.537687308154883</v>
      </c>
      <c r="I33" s="194">
        <f t="shared" si="2"/>
        <v>4.3402745446346147</v>
      </c>
      <c r="J33" s="194">
        <f t="shared" si="3"/>
        <v>0</v>
      </c>
      <c r="K33" s="191" t="str">
        <f>VLOOKUP(C33,'BD  Materiales y equipos'!$B$3:$L$190,11,FALSE())</f>
        <v>IMPORTADO</v>
      </c>
      <c r="L33" s="436">
        <f t="shared" si="0"/>
        <v>1</v>
      </c>
      <c r="M33" s="421">
        <f t="shared" si="1"/>
        <v>1</v>
      </c>
      <c r="N33" s="194">
        <f>VLOOKUP(C33,'BD  Materiales y equipos'!$B$3:$K$190,9,FALSE())*0.811905633063426</f>
        <v>0.20151999063479964</v>
      </c>
      <c r="O33" s="194">
        <f>VLOOKUP(C33,'BD  Materiales y equipos'!$B$3:$K$190,10,FALSE())*1.14265904837007</f>
        <v>0</v>
      </c>
    </row>
    <row r="34" spans="1:15" ht="13.5" thickBot="1">
      <c r="A34" s="584" t="str">
        <f>IF(VLOOKUP(C34,'BD  Materiales y equipos'!$B$3:$F$190,1,FALSE())=C34,"CORRECTO","NO LISTADO")</f>
        <v>CORRECTO</v>
      </c>
      <c r="B34" s="147" t="s">
        <v>411</v>
      </c>
      <c r="C34" s="147" t="s">
        <v>837</v>
      </c>
      <c r="D34" s="191" t="str">
        <f>VLOOKUP(C34,'BD  Materiales y equipos'!$B$3:$F$190,2,FALSE())</f>
        <v>Junta</v>
      </c>
      <c r="E34" s="191">
        <f>VLOOKUP(C34,'BD  Materiales y equipos'!$B$3:$F$190,3,FALSE())</f>
        <v>0</v>
      </c>
      <c r="F34" s="191" t="str">
        <f>VLOOKUP(C34,'BD  Materiales y equipos'!$B$3:$F$190,4,FALSE())</f>
        <v>900#</v>
      </c>
      <c r="G34" s="133">
        <v>6</v>
      </c>
      <c r="H34" s="194">
        <f>VLOOKUP(C34,'BD  Materiales y equipos'!$B$3:$I$190,8,FALSE())*G34</f>
        <v>40.383163702790405</v>
      </c>
      <c r="I34" s="194">
        <f t="shared" si="2"/>
        <v>15.225353500890945</v>
      </c>
      <c r="J34" s="194">
        <f t="shared" si="3"/>
        <v>0</v>
      </c>
      <c r="K34" s="191" t="str">
        <f>VLOOKUP(C34,'BD  Materiales y equipos'!$B$3:$L$190,11,FALSE())</f>
        <v>IMPORTADO</v>
      </c>
      <c r="L34" s="436">
        <f t="shared" si="0"/>
        <v>1</v>
      </c>
      <c r="M34" s="421">
        <f t="shared" ref="M34:M57" si="4">(0.65*ipc/ipc_base*trm_base/trm+0.35*fac_mano_obra)</f>
        <v>1</v>
      </c>
      <c r="N34" s="194">
        <f>VLOOKUP(C34,'BD  Materiales y equipos'!$B$3:$K$190,9,FALSE())*0.811905633063426</f>
        <v>0.37702230595268837</v>
      </c>
      <c r="O34" s="194">
        <f>VLOOKUP(C34,'BD  Materiales y equipos'!$B$3:$K$190,10,FALSE())*1.14265904837007</f>
        <v>0</v>
      </c>
    </row>
    <row r="35" spans="1:15" ht="13.5" thickBot="1">
      <c r="A35" s="584" t="str">
        <f>IF(VLOOKUP(C35,'BD  Materiales y equipos'!$B$3:$F$190,1,FALSE())=C35,"CORRECTO","NO LISTADO")</f>
        <v>CORRECTO</v>
      </c>
      <c r="B35" s="147" t="s">
        <v>411</v>
      </c>
      <c r="C35" s="147" t="s">
        <v>838</v>
      </c>
      <c r="D35" s="191" t="str">
        <f>VLOOKUP(C35,'BD  Materiales y equipos'!$B$3:$F$190,2,FALSE())</f>
        <v>Junta</v>
      </c>
      <c r="E35" s="191">
        <f>VLOOKUP(C35,'BD  Materiales y equipos'!$B$3:$F$190,3,FALSE())</f>
        <v>0</v>
      </c>
      <c r="F35" s="191" t="str">
        <f>VLOOKUP(C35,'BD  Materiales y equipos'!$B$3:$F$190,4,FALSE())</f>
        <v>300#</v>
      </c>
      <c r="G35" s="133">
        <v>5</v>
      </c>
      <c r="H35" s="194">
        <f>VLOOKUP(C35,'BD  Materiales y equipos'!$B$3:$I$190,8,FALSE())*G35</f>
        <v>7.7401063763681606</v>
      </c>
      <c r="I35" s="194">
        <f t="shared" si="2"/>
        <v>4.2572568391595098</v>
      </c>
      <c r="J35" s="194">
        <f t="shared" si="3"/>
        <v>0</v>
      </c>
      <c r="K35" s="191" t="str">
        <f>VLOOKUP(C35,'BD  Materiales y equipos'!$B$3:$L$190,11,FALSE())</f>
        <v>IMPORTADO</v>
      </c>
      <c r="L35" s="436">
        <f t="shared" si="0"/>
        <v>1</v>
      </c>
      <c r="M35" s="421">
        <f t="shared" si="4"/>
        <v>1</v>
      </c>
      <c r="N35" s="194">
        <f>VLOOKUP(C35,'BD  Materiales y equipos'!$B$3:$K$190,9,FALSE())*0.811905633063426</f>
        <v>0.5500256239575243</v>
      </c>
      <c r="O35" s="194">
        <f>VLOOKUP(C35,'BD  Materiales y equipos'!$B$3:$K$190,10,FALSE())*1.14265904837007</f>
        <v>0</v>
      </c>
    </row>
    <row r="36" spans="1:15" ht="13.5" thickBot="1">
      <c r="A36" s="584" t="str">
        <f>IF(VLOOKUP(C36,'BD  Materiales y equipos'!$B$3:$F$190,1,FALSE())=C36,"CORRECTO","NO LISTADO")</f>
        <v>CORRECTO</v>
      </c>
      <c r="B36" s="147" t="s">
        <v>411</v>
      </c>
      <c r="C36" s="147" t="s">
        <v>899</v>
      </c>
      <c r="D36" s="191" t="str">
        <f>VLOOKUP(C36,'BD  Materiales y equipos'!$B$3:$F$190,2,FALSE())</f>
        <v>Junta</v>
      </c>
      <c r="E36" s="191">
        <f>VLOOKUP(C36,'BD  Materiales y equipos'!$B$3:$F$190,3,FALSE())</f>
        <v>0</v>
      </c>
      <c r="F36" s="191" t="str">
        <f>VLOOKUP(C36,'BD  Materiales y equipos'!$B$3:$F$190,4,FALSE())</f>
        <v>150#</v>
      </c>
      <c r="G36" s="133">
        <v>12</v>
      </c>
      <c r="H36" s="194">
        <f>VLOOKUP(C36,'BD  Materiales y equipos'!$B$3:$I$190,8,FALSE())*G36</f>
        <v>10.505497076437305</v>
      </c>
      <c r="I36" s="194">
        <f t="shared" si="2"/>
        <v>23.174461768441059</v>
      </c>
      <c r="J36" s="194">
        <f t="shared" si="3"/>
        <v>0</v>
      </c>
      <c r="K36" s="191" t="str">
        <f>VLOOKUP(C36,'BD  Materiales y equipos'!$B$3:$L$190,11,FALSE())</f>
        <v>IMPORTADO</v>
      </c>
      <c r="L36" s="436">
        <f t="shared" si="0"/>
        <v>1</v>
      </c>
      <c r="M36" s="421">
        <f t="shared" si="4"/>
        <v>1</v>
      </c>
      <c r="N36" s="194">
        <f>VLOOKUP(C36,'BD  Materiales y equipos'!$B$3:$K$190,9,FALSE())*0.811905633063426</f>
        <v>2.2059367205402278</v>
      </c>
      <c r="O36" s="194">
        <f>VLOOKUP(C36,'BD  Materiales y equipos'!$B$3:$K$190,10,FALSE())*1.14265904837007</f>
        <v>0</v>
      </c>
    </row>
    <row r="37" spans="1:15" ht="13.5" thickBot="1">
      <c r="A37" s="584" t="str">
        <f>IF(VLOOKUP(C37,'BD  Materiales y equipos'!$B$3:$F$190,1,FALSE())=C37,"CORRECTO","NO LISTADO")</f>
        <v>CORRECTO</v>
      </c>
      <c r="B37" s="147" t="s">
        <v>411</v>
      </c>
      <c r="C37" s="147" t="s">
        <v>840</v>
      </c>
      <c r="D37" s="191" t="str">
        <f>VLOOKUP(C37,'BD  Materiales y equipos'!$B$3:$F$190,2,FALSE())</f>
        <v>Junta</v>
      </c>
      <c r="E37" s="191">
        <f>VLOOKUP(C37,'BD  Materiales y equipos'!$B$3:$F$190,3,FALSE())</f>
        <v>0</v>
      </c>
      <c r="F37" s="191" t="str">
        <f>VLOOKUP(C37,'BD  Materiales y equipos'!$B$3:$F$190,4,FALSE())</f>
        <v>900#</v>
      </c>
      <c r="G37" s="133">
        <v>6</v>
      </c>
      <c r="H37" s="194">
        <f>VLOOKUP(C37,'BD  Materiales y equipos'!$B$3:$I$190,8,FALSE())*G37</f>
        <v>20.191581851395203</v>
      </c>
      <c r="I37" s="194">
        <f t="shared" si="2"/>
        <v>7.6126767504454724</v>
      </c>
      <c r="J37" s="194">
        <f t="shared" si="3"/>
        <v>0</v>
      </c>
      <c r="K37" s="191" t="str">
        <f>VLOOKUP(C37,'BD  Materiales y equipos'!$B$3:$L$190,11,FALSE())</f>
        <v>IMPORTADO</v>
      </c>
      <c r="L37" s="436">
        <f t="shared" si="0"/>
        <v>1</v>
      </c>
      <c r="M37" s="421">
        <f t="shared" si="4"/>
        <v>1</v>
      </c>
      <c r="N37" s="194">
        <f>VLOOKUP(C37,'BD  Materiales y equipos'!$B$3:$K$190,9,FALSE())*0.811905633063426</f>
        <v>0.37702230595268837</v>
      </c>
      <c r="O37" s="194">
        <f>VLOOKUP(C37,'BD  Materiales y equipos'!$B$3:$K$190,10,FALSE())*1.14265904837007</f>
        <v>0</v>
      </c>
    </row>
    <row r="38" spans="1:15" ht="13.5" thickBot="1">
      <c r="A38" s="584" t="str">
        <f>IF(VLOOKUP(C38,'BD  Materiales y equipos'!$B$3:$F$190,1,FALSE())=C38,"CORRECTO","NO LISTADO")</f>
        <v>CORRECTO</v>
      </c>
      <c r="B38" s="147" t="s">
        <v>411</v>
      </c>
      <c r="C38" s="147" t="s">
        <v>841</v>
      </c>
      <c r="D38" s="191" t="str">
        <f>VLOOKUP(C38,'BD  Materiales y equipos'!$B$3:$F$190,2,FALSE())</f>
        <v>Junta</v>
      </c>
      <c r="E38" s="191">
        <f>VLOOKUP(C38,'BD  Materiales y equipos'!$B$3:$F$190,3,FALSE())</f>
        <v>0</v>
      </c>
      <c r="F38" s="191" t="str">
        <f>VLOOKUP(C38,'BD  Materiales y equipos'!$B$3:$F$190,4,FALSE())</f>
        <v>900#</v>
      </c>
      <c r="G38" s="133">
        <v>8</v>
      </c>
      <c r="H38" s="194">
        <f>VLOOKUP(C38,'BD  Materiales y equipos'!$B$3:$I$190,8,FALSE())*G38</f>
        <v>10.768843654077441</v>
      </c>
      <c r="I38" s="194">
        <f t="shared" si="2"/>
        <v>4.3295705526985602</v>
      </c>
      <c r="J38" s="194">
        <f t="shared" si="3"/>
        <v>0</v>
      </c>
      <c r="K38" s="191" t="str">
        <f>VLOOKUP(C38,'BD  Materiales y equipos'!$B$3:$L$190,11,FALSE())</f>
        <v>IMPORTADO</v>
      </c>
      <c r="L38" s="436">
        <f t="shared" si="0"/>
        <v>1</v>
      </c>
      <c r="M38" s="421">
        <f t="shared" si="4"/>
        <v>1</v>
      </c>
      <c r="N38" s="194">
        <f>VLOOKUP(C38,'BD  Materiales y equipos'!$B$3:$K$190,9,FALSE())*0.811905633063426</f>
        <v>0.4020460034313193</v>
      </c>
      <c r="O38" s="194">
        <f>VLOOKUP(C38,'BD  Materiales y equipos'!$B$3:$K$190,10,FALSE())*1.14265904837007</f>
        <v>0</v>
      </c>
    </row>
    <row r="39" spans="1:15" ht="13.5" thickBot="1">
      <c r="A39" s="584" t="str">
        <f>IF(VLOOKUP(C39,'BD  Materiales y equipos'!$B$3:$F$190,1,FALSE())=C39,"CORRECTO","NO LISTADO")</f>
        <v>CORRECTO</v>
      </c>
      <c r="B39" s="147" t="s">
        <v>411</v>
      </c>
      <c r="C39" s="147" t="s">
        <v>842</v>
      </c>
      <c r="D39" s="191" t="str">
        <f>VLOOKUP(C39,'BD  Materiales y equipos'!$B$3:$F$190,2,FALSE())</f>
        <v>Junta</v>
      </c>
      <c r="E39" s="191">
        <f>VLOOKUP(C39,'BD  Materiales y equipos'!$B$3:$F$190,3,FALSE())</f>
        <v>0</v>
      </c>
      <c r="F39" s="191" t="str">
        <f>VLOOKUP(C39,'BD  Materiales y equipos'!$B$3:$F$190,4,FALSE())</f>
        <v>150#</v>
      </c>
      <c r="G39" s="133">
        <v>6</v>
      </c>
      <c r="H39" s="194">
        <f>VLOOKUP(C39,'BD  Materiales y equipos'!$B$3:$I$190,8,FALSE())*G39</f>
        <v>3.2306530962232327</v>
      </c>
      <c r="I39" s="194">
        <f t="shared" si="2"/>
        <v>2.8639152327669364</v>
      </c>
      <c r="J39" s="194">
        <f t="shared" si="3"/>
        <v>0</v>
      </c>
      <c r="K39" s="191" t="str">
        <f>VLOOKUP(C39,'BD  Materiales y equipos'!$B$3:$L$190,11,FALSE())</f>
        <v>IMPORTADO</v>
      </c>
      <c r="L39" s="436">
        <f t="shared" si="0"/>
        <v>1</v>
      </c>
      <c r="M39" s="421">
        <f t="shared" si="4"/>
        <v>1</v>
      </c>
      <c r="N39" s="194">
        <f>VLOOKUP(C39,'BD  Materiales y equipos'!$B$3:$K$190,9,FALSE())*0.811905633063426</f>
        <v>0.88648181883563171</v>
      </c>
      <c r="O39" s="194">
        <f>VLOOKUP(C39,'BD  Materiales y equipos'!$B$3:$K$190,10,FALSE())*1.14265904837007</f>
        <v>0</v>
      </c>
    </row>
    <row r="40" spans="1:15" ht="13.5" thickBot="1">
      <c r="A40" s="584" t="str">
        <f>IF(VLOOKUP(C40,'BD  Materiales y equipos'!$B$3:$F$190,1,FALSE())=C40,"CORRECTO","NO LISTADO")</f>
        <v>CORRECTO</v>
      </c>
      <c r="B40" s="147" t="s">
        <v>411</v>
      </c>
      <c r="C40" s="147" t="s">
        <v>843</v>
      </c>
      <c r="D40" s="191" t="str">
        <f>VLOOKUP(C40,'BD  Materiales y equipos'!$B$3:$F$190,2,FALSE())</f>
        <v>Junta</v>
      </c>
      <c r="E40" s="191">
        <f>VLOOKUP(C40,'BD  Materiales y equipos'!$B$3:$F$190,3,FALSE())</f>
        <v>0</v>
      </c>
      <c r="F40" s="191" t="str">
        <f>VLOOKUP(C40,'BD  Materiales y equipos'!$B$3:$F$190,4,FALSE())</f>
        <v>150#</v>
      </c>
      <c r="G40" s="133">
        <v>10</v>
      </c>
      <c r="H40" s="194">
        <f>VLOOKUP(C40,'BD  Materiales y equipos'!$B$3:$I$190,8,FALSE())*G40</f>
        <v>2.0191581851395202</v>
      </c>
      <c r="I40" s="194">
        <f t="shared" si="2"/>
        <v>1.5901849274240734</v>
      </c>
      <c r="J40" s="194">
        <f t="shared" si="3"/>
        <v>0</v>
      </c>
      <c r="K40" s="191" t="str">
        <f>VLOOKUP(C40,'BD  Materiales y equipos'!$B$3:$L$190,11,FALSE())</f>
        <v>IMPORTADO</v>
      </c>
      <c r="L40" s="436">
        <f t="shared" si="0"/>
        <v>1</v>
      </c>
      <c r="M40" s="421">
        <f t="shared" si="4"/>
        <v>1</v>
      </c>
      <c r="N40" s="194">
        <f>VLOOKUP(C40,'BD  Materiales y equipos'!$B$3:$K$190,9,FALSE())*0.811905633063426</f>
        <v>0.78754846407152324</v>
      </c>
      <c r="O40" s="194">
        <f>VLOOKUP(C40,'BD  Materiales y equipos'!$B$3:$K$190,10,FALSE())*1.14265904837007</f>
        <v>0</v>
      </c>
    </row>
    <row r="41" spans="1:15" ht="13.5" thickBot="1">
      <c r="A41" s="584" t="str">
        <f>IF(VLOOKUP(C41,'BD  Materiales y equipos'!$B$3:$F$190,1,FALSE())=C41,"CORRECTO","NO LISTADO")</f>
        <v>CORRECTO</v>
      </c>
      <c r="B41" s="147" t="s">
        <v>411</v>
      </c>
      <c r="C41" s="147" t="s">
        <v>822</v>
      </c>
      <c r="D41" s="191" t="str">
        <f>VLOOKUP(C41,'BD  Materiales y equipos'!$B$3:$F$190,2,FALSE())</f>
        <v>Global</v>
      </c>
      <c r="E41" s="191">
        <f>VLOOKUP(C41,'BD  Materiales y equipos'!$B$3:$F$190,3,FALSE())</f>
        <v>0</v>
      </c>
      <c r="F41" s="191" t="str">
        <f>VLOOKUP(C41,'BD  Materiales y equipos'!$B$3:$F$190,4,FALSE())</f>
        <v>900#</v>
      </c>
      <c r="G41" s="133">
        <v>1</v>
      </c>
      <c r="H41" s="194">
        <f>VLOOKUP(C41,'BD  Materiales y equipos'!$B$3:$I$190,8,FALSE())*G41</f>
        <v>29.676545413664702</v>
      </c>
      <c r="I41" s="194">
        <f t="shared" si="2"/>
        <v>3.6141831586825424</v>
      </c>
      <c r="J41" s="194">
        <f t="shared" si="3"/>
        <v>0</v>
      </c>
      <c r="K41" s="191" t="str">
        <f>VLOOKUP(C41,'BD  Materiales y equipos'!$B$3:$L$190,11,FALSE())</f>
        <v>IMPORTADO</v>
      </c>
      <c r="L41" s="436">
        <f t="shared" si="0"/>
        <v>1</v>
      </c>
      <c r="M41" s="421">
        <f t="shared" si="4"/>
        <v>1</v>
      </c>
      <c r="N41" s="194">
        <f>VLOOKUP(C41,'BD  Materiales y equipos'!$B$3:$K$190,9,FALSE())*0.811905633063426</f>
        <v>0.12178584495951389</v>
      </c>
      <c r="O41" s="194">
        <f>VLOOKUP(C41,'BD  Materiales y equipos'!$B$3:$K$190,10,FALSE())*1.14265904837007</f>
        <v>0</v>
      </c>
    </row>
    <row r="42" spans="1:15" ht="13.5" thickBot="1">
      <c r="A42" s="584" t="str">
        <f>IF(VLOOKUP(C42,'BD  Materiales y equipos'!$B$3:$F$190,1,FALSE())=C42,"CORRECTO","NO LISTADO")</f>
        <v>CORRECTO</v>
      </c>
      <c r="B42" s="147" t="s">
        <v>411</v>
      </c>
      <c r="C42" s="147" t="s">
        <v>898</v>
      </c>
      <c r="D42" s="191" t="str">
        <f>VLOOKUP(C42,'BD  Materiales y equipos'!$B$3:$F$190,2,FALSE())</f>
        <v>Global</v>
      </c>
      <c r="E42" s="191">
        <f>VLOOKUP(C42,'BD  Materiales y equipos'!$B$3:$F$190,3,FALSE())</f>
        <v>0</v>
      </c>
      <c r="F42" s="191" t="str">
        <f>VLOOKUP(C42,'BD  Materiales y equipos'!$B$3:$F$190,4,FALSE())</f>
        <v>300#</v>
      </c>
      <c r="G42" s="133">
        <v>1</v>
      </c>
      <c r="H42" s="194">
        <f>VLOOKUP(C42,'BD  Materiales y equipos'!$B$3:$I$190,8,FALSE())*G42</f>
        <v>2.9676545413664703</v>
      </c>
      <c r="I42" s="194">
        <f t="shared" si="2"/>
        <v>0.28913465269460342</v>
      </c>
      <c r="J42" s="194">
        <f t="shared" si="3"/>
        <v>0</v>
      </c>
      <c r="K42" s="191" t="str">
        <f>VLOOKUP(C42,'BD  Materiales y equipos'!$B$3:$L$190,11,FALSE())</f>
        <v>IMPORTADO</v>
      </c>
      <c r="L42" s="436">
        <f t="shared" si="0"/>
        <v>1</v>
      </c>
      <c r="M42" s="421">
        <f t="shared" si="4"/>
        <v>1</v>
      </c>
      <c r="N42" s="194">
        <f>VLOOKUP(C42,'BD  Materiales y equipos'!$B$3:$K$190,9,FALSE())*0.811905633063426</f>
        <v>9.7428675967611122E-2</v>
      </c>
      <c r="O42" s="194">
        <f>VLOOKUP(C42,'BD  Materiales y equipos'!$B$3:$K$190,10,FALSE())*1.14265904837007</f>
        <v>0</v>
      </c>
    </row>
    <row r="43" spans="1:15" ht="13.5" thickBot="1">
      <c r="A43" s="584" t="str">
        <f>IF(VLOOKUP(C43,'BD  Materiales y equipos'!$B$3:$F$190,1,FALSE())=C43,"CORRECTO","NO LISTADO")</f>
        <v>CORRECTO</v>
      </c>
      <c r="B43" s="147" t="s">
        <v>411</v>
      </c>
      <c r="C43" s="147" t="s">
        <v>902</v>
      </c>
      <c r="D43" s="191" t="str">
        <f>VLOOKUP(C43,'BD  Materiales y equipos'!$B$3:$F$190,2,FALSE())</f>
        <v>Global</v>
      </c>
      <c r="E43" s="191">
        <f>VLOOKUP(C43,'BD  Materiales y equipos'!$B$3:$F$190,3,FALSE())</f>
        <v>0</v>
      </c>
      <c r="F43" s="191" t="str">
        <f>VLOOKUP(C43,'BD  Materiales y equipos'!$B$3:$F$190,4,FALSE())</f>
        <v>150#</v>
      </c>
      <c r="G43" s="133">
        <v>1</v>
      </c>
      <c r="H43" s="194">
        <f>VLOOKUP(C43,'BD  Materiales y equipos'!$B$3:$I$190,8,FALSE())*G43</f>
        <v>7.4191363534161754</v>
      </c>
      <c r="I43" s="194">
        <f t="shared" si="2"/>
        <v>0.54212747380238135</v>
      </c>
      <c r="J43" s="194">
        <f t="shared" si="3"/>
        <v>0</v>
      </c>
      <c r="K43" s="191" t="str">
        <f>VLOOKUP(C43,'BD  Materiales y equipos'!$B$3:$L$190,11,FALSE())</f>
        <v>IMPORTADO</v>
      </c>
      <c r="L43" s="436">
        <f t="shared" si="0"/>
        <v>1</v>
      </c>
      <c r="M43" s="421">
        <f t="shared" si="4"/>
        <v>1</v>
      </c>
      <c r="N43" s="194">
        <f>VLOOKUP(C43,'BD  Materiales y equipos'!$B$3:$K$190,9,FALSE())*0.811905633063426</f>
        <v>7.3071506975708342E-2</v>
      </c>
      <c r="O43" s="194">
        <f>VLOOKUP(C43,'BD  Materiales y equipos'!$B$3:$K$190,10,FALSE())*1.14265904837007</f>
        <v>0</v>
      </c>
    </row>
    <row r="44" spans="1:15" ht="13.5" thickBot="1">
      <c r="A44" s="584" t="str">
        <f>IF(VLOOKUP(C44,'BD  Materiales y equipos'!$B$3:$F$190,1,FALSE())=C44,"CORRECTO","NO LISTADO")</f>
        <v>CORRECTO</v>
      </c>
      <c r="B44" s="147" t="s">
        <v>411</v>
      </c>
      <c r="C44" s="147" t="s">
        <v>890</v>
      </c>
      <c r="D44" s="191" t="str">
        <f>VLOOKUP(C44,'BD  Materiales y equipos'!$B$3:$F$190,2,FALSE())</f>
        <v>Global</v>
      </c>
      <c r="E44" s="191">
        <f>VLOOKUP(C44,'BD  Materiales y equipos'!$B$3:$F$190,3,FALSE())</f>
        <v>0</v>
      </c>
      <c r="F44" s="191">
        <f>VLOOKUP(C44,'BD  Materiales y equipos'!$B$3:$F$190,4,FALSE())</f>
        <v>0</v>
      </c>
      <c r="G44" s="133">
        <v>1</v>
      </c>
      <c r="H44" s="194">
        <f>VLOOKUP(C44,'BD  Materiales y equipos'!$B$3:$I$190,8,FALSE())*G44</f>
        <v>601.2468100808469</v>
      </c>
      <c r="I44" s="194">
        <f t="shared" si="2"/>
        <v>6827.4609100217076</v>
      </c>
      <c r="J44" s="194">
        <f t="shared" si="3"/>
        <v>0</v>
      </c>
      <c r="K44" s="191" t="str">
        <f>VLOOKUP(C44,'BD  Materiales y equipos'!$B$3:$L$190,11,FALSE())</f>
        <v>NACIONAL</v>
      </c>
      <c r="L44" s="436">
        <f t="shared" si="0"/>
        <v>1</v>
      </c>
      <c r="M44" s="421">
        <f t="shared" si="4"/>
        <v>1</v>
      </c>
      <c r="N44" s="194">
        <f>VLOOKUP(C44,'BD  Materiales y equipos'!$B$3:$K$190,9,FALSE())*0.811905633063426</f>
        <v>11.355504587381761</v>
      </c>
      <c r="O44" s="194">
        <f>VLOOKUP(C44,'BD  Materiales y equipos'!$B$3:$K$190,10,FALSE())*1.14265904837007</f>
        <v>0</v>
      </c>
    </row>
    <row r="45" spans="1:15" ht="13.5" thickBot="1">
      <c r="A45" s="584" t="str">
        <f>IF(VLOOKUP(C45,'BD  Materiales y equipos'!$B$3:$F$190,1,FALSE())=C45,"CORRECTO","NO LISTADO")</f>
        <v>CORRECTO</v>
      </c>
      <c r="B45" s="147" t="s">
        <v>411</v>
      </c>
      <c r="C45" s="147" t="s">
        <v>845</v>
      </c>
      <c r="D45" s="191" t="str">
        <f>VLOOKUP(C45,'BD  Materiales y equipos'!$B$3:$F$190,2,FALSE())</f>
        <v>Unidad</v>
      </c>
      <c r="E45" s="191">
        <f>VLOOKUP(C45,'BD  Materiales y equipos'!$B$3:$F$190,3,FALSE())</f>
        <v>0</v>
      </c>
      <c r="F45" s="191" t="str">
        <f>VLOOKUP(C45,'BD  Materiales y equipos'!$B$3:$F$190,4,FALSE())</f>
        <v>900# x 150#</v>
      </c>
      <c r="G45" s="133">
        <v>3</v>
      </c>
      <c r="H45" s="194">
        <f>VLOOKUP(C45,'BD  Materiales y equipos'!$B$3:$I$190,8,FALSE())*G45</f>
        <v>106.83556348919292</v>
      </c>
      <c r="I45" s="194">
        <f t="shared" si="2"/>
        <v>17520.096331966379</v>
      </c>
      <c r="J45" s="194">
        <f t="shared" si="3"/>
        <v>6401.6337091731639</v>
      </c>
      <c r="K45" s="191" t="str">
        <f>VLOOKUP(C45,'BD  Materiales y equipos'!$B$3:$L$190,11,FALSE())</f>
        <v>IMPORTADO</v>
      </c>
      <c r="L45" s="436">
        <f t="shared" si="0"/>
        <v>1</v>
      </c>
      <c r="M45" s="421">
        <f t="shared" si="4"/>
        <v>1</v>
      </c>
      <c r="N45" s="194">
        <f>VLOOKUP(C45,'BD  Materiales y equipos'!$B$3:$K$190,9,FALSE())*0.811905633063426</f>
        <v>163.99123812117716</v>
      </c>
      <c r="O45" s="194">
        <f>VLOOKUP(C45,'BD  Materiales y equipos'!$B$3:$K$190,10,FALSE())*1.14265904837007</f>
        <v>59.920437540639064</v>
      </c>
    </row>
    <row r="46" spans="1:15" ht="13.5" thickBot="1">
      <c r="A46" s="584" t="str">
        <f>IF(VLOOKUP(C46,'BD  Materiales y equipos'!$B$3:$F$190,1,FALSE())=C46,"CORRECTO","NO LISTADO")</f>
        <v>CORRECTO</v>
      </c>
      <c r="B46" s="147" t="s">
        <v>411</v>
      </c>
      <c r="C46" s="147" t="s">
        <v>823</v>
      </c>
      <c r="D46" s="191" t="str">
        <f>VLOOKUP(C46,'BD  Materiales y equipos'!$B$3:$F$190,2,FALSE())</f>
        <v>Unidad</v>
      </c>
      <c r="E46" s="191">
        <f>VLOOKUP(C46,'BD  Materiales y equipos'!$B$3:$F$190,3,FALSE())</f>
        <v>0</v>
      </c>
      <c r="F46" s="191" t="str">
        <f>VLOOKUP(C46,'BD  Materiales y equipos'!$B$3:$F$190,4,FALSE())</f>
        <v>900#</v>
      </c>
      <c r="G46" s="133">
        <v>2</v>
      </c>
      <c r="H46" s="194">
        <f>VLOOKUP(C46,'BD  Materiales y equipos'!$B$3:$I$190,8,FALSE())*G46</f>
        <v>788.80257709520777</v>
      </c>
      <c r="I46" s="194">
        <f t="shared" si="2"/>
        <v>12760.694087567674</v>
      </c>
      <c r="J46" s="194">
        <f t="shared" si="3"/>
        <v>4386.8245741861847</v>
      </c>
      <c r="K46" s="191" t="str">
        <f>VLOOKUP(C46,'BD  Materiales y equipos'!$B$3:$L$190,11,FALSE())</f>
        <v>IMPORTADO</v>
      </c>
      <c r="L46" s="436">
        <f t="shared" si="0"/>
        <v>1</v>
      </c>
      <c r="M46" s="421">
        <f t="shared" si="4"/>
        <v>1</v>
      </c>
      <c r="N46" s="194">
        <f>VLOOKUP(C46,'BD  Materiales y equipos'!$B$3:$K$190,9,FALSE())*0.811905633063426</f>
        <v>16.177297663706124</v>
      </c>
      <c r="O46" s="194">
        <f>VLOOKUP(C46,'BD  Materiales y equipos'!$B$3:$K$190,10,FALSE())*1.14265904837007</f>
        <v>5.5613720106503894</v>
      </c>
    </row>
    <row r="47" spans="1:15" ht="13.5" thickBot="1">
      <c r="A47" s="584" t="str">
        <f>IF(VLOOKUP(C47,'BD  Materiales y equipos'!$B$3:$F$190,1,FALSE())=C47,"CORRECTO","NO LISTADO")</f>
        <v>CORRECTO</v>
      </c>
      <c r="B47" s="147" t="s">
        <v>411</v>
      </c>
      <c r="C47" s="147" t="s">
        <v>847</v>
      </c>
      <c r="D47" s="191" t="str">
        <f>VLOOKUP(C47,'BD  Materiales y equipos'!$B$3:$F$190,2,FALSE())</f>
        <v>Unidad</v>
      </c>
      <c r="E47" s="191">
        <f>VLOOKUP(C47,'BD  Materiales y equipos'!$B$3:$F$190,3,FALSE())</f>
        <v>0</v>
      </c>
      <c r="F47" s="191" t="str">
        <f>VLOOKUP(C47,'BD  Materiales y equipos'!$B$3:$F$190,4,FALSE())</f>
        <v>900#</v>
      </c>
      <c r="G47" s="133">
        <v>1</v>
      </c>
      <c r="H47" s="194">
        <f>VLOOKUP(C47,'BD  Materiales y equipos'!$B$3:$I$190,8,FALSE())*G47</f>
        <v>365.91180495048576</v>
      </c>
      <c r="I47" s="194">
        <f t="shared" si="2"/>
        <v>3208.8324074010129</v>
      </c>
      <c r="J47" s="194">
        <f t="shared" si="3"/>
        <v>2034.971670418196</v>
      </c>
      <c r="K47" s="191" t="str">
        <f>VLOOKUP(C47,'BD  Materiales y equipos'!$B$3:$L$190,11,FALSE())</f>
        <v>IMPORTADO</v>
      </c>
      <c r="L47" s="436">
        <f t="shared" si="0"/>
        <v>1</v>
      </c>
      <c r="M47" s="421">
        <f t="shared" si="4"/>
        <v>1</v>
      </c>
      <c r="N47" s="194">
        <f>VLOOKUP(C47,'BD  Materiales y equipos'!$B$3:$K$190,9,FALSE())*0.811905633063426</f>
        <v>8.7694148261634357</v>
      </c>
      <c r="O47" s="194">
        <f>VLOOKUP(C47,'BD  Materiales y equipos'!$B$3:$K$190,10,FALSE())*1.14265904837007</f>
        <v>5.5613720106503894</v>
      </c>
    </row>
    <row r="48" spans="1:15" ht="13.5" thickBot="1">
      <c r="A48" s="584" t="str">
        <f>IF(VLOOKUP(C48,'BD  Materiales y equipos'!$B$3:$F$190,1,FALSE())=C48,"CORRECTO","NO LISTADO")</f>
        <v>CORRECTO</v>
      </c>
      <c r="B48" s="147" t="s">
        <v>411</v>
      </c>
      <c r="C48" s="147" t="s">
        <v>825</v>
      </c>
      <c r="D48" s="191" t="str">
        <f>VLOOKUP(C48,'BD  Materiales y equipos'!$B$3:$F$190,2,FALSE())</f>
        <v>Unidad</v>
      </c>
      <c r="E48" s="191">
        <f>VLOOKUP(C48,'BD  Materiales y equipos'!$B$3:$F$190,3,FALSE())</f>
        <v>0</v>
      </c>
      <c r="F48" s="191" t="str">
        <f>VLOOKUP(C48,'BD  Materiales y equipos'!$B$3:$F$190,4,FALSE())</f>
        <v>900#</v>
      </c>
      <c r="G48" s="133">
        <v>1</v>
      </c>
      <c r="H48" s="194">
        <f>VLOOKUP(C48,'BD  Materiales y equipos'!$B$3:$I$190,8,FALSE())*G48</f>
        <v>189.9298906474541</v>
      </c>
      <c r="I48" s="194">
        <f t="shared" si="2"/>
        <v>4044.9190084795141</v>
      </c>
      <c r="J48" s="194">
        <f t="shared" si="3"/>
        <v>1444.184089592585</v>
      </c>
      <c r="K48" s="191" t="str">
        <f>VLOOKUP(C48,'BD  Materiales y equipos'!$B$3:$L$190,11,FALSE())</f>
        <v>IMPORTADO</v>
      </c>
      <c r="L48" s="436">
        <f t="shared" si="0"/>
        <v>1</v>
      </c>
      <c r="M48" s="421">
        <f t="shared" si="4"/>
        <v>1</v>
      </c>
      <c r="N48" s="194">
        <f>VLOOKUP(C48,'BD  Materiales y equipos'!$B$3:$K$190,9,FALSE())*0.811905633063426</f>
        <v>21.296905898754247</v>
      </c>
      <c r="O48" s="194">
        <f>VLOOKUP(C48,'BD  Materiales y equipos'!$B$3:$K$190,10,FALSE())*1.14265904837007</f>
        <v>7.6037746595308926</v>
      </c>
    </row>
    <row r="49" spans="1:17" ht="13.5" thickBot="1">
      <c r="A49" s="584" t="str">
        <f>IF(VLOOKUP(C49,'BD  Materiales y equipos'!$B$3:$F$190,1,FALSE())=C49,"CORRECTO","NO LISTADO")</f>
        <v>CORRECTO</v>
      </c>
      <c r="B49" s="147" t="s">
        <v>411</v>
      </c>
      <c r="C49" s="147" t="s">
        <v>848</v>
      </c>
      <c r="D49" s="191" t="str">
        <f>VLOOKUP(C49,'BD  Materiales y equipos'!$B$3:$F$190,2,FALSE())</f>
        <v>Unidad</v>
      </c>
      <c r="E49" s="191">
        <f>VLOOKUP(C49,'BD  Materiales y equipos'!$B$3:$F$190,3,FALSE())</f>
        <v>0</v>
      </c>
      <c r="F49" s="191" t="str">
        <f>VLOOKUP(C49,'BD  Materiales y equipos'!$B$3:$F$190,4,FALSE())</f>
        <v>900#</v>
      </c>
      <c r="G49" s="133">
        <v>3</v>
      </c>
      <c r="H49" s="194">
        <f>VLOOKUP(C49,'BD  Materiales y equipos'!$B$3:$I$190,8,FALSE())*G49</f>
        <v>343.65439589023725</v>
      </c>
      <c r="I49" s="194">
        <f t="shared" si="2"/>
        <v>4018.5108398063981</v>
      </c>
      <c r="J49" s="194">
        <f t="shared" si="3"/>
        <v>2545.5769539235662</v>
      </c>
      <c r="K49" s="191" t="str">
        <f>VLOOKUP(C49,'BD  Materiales y equipos'!$B$3:$L$190,11,FALSE())</f>
        <v>IMPORTADO</v>
      </c>
      <c r="L49" s="436">
        <f t="shared" si="0"/>
        <v>1</v>
      </c>
      <c r="M49" s="421">
        <f t="shared" si="4"/>
        <v>1</v>
      </c>
      <c r="N49" s="194">
        <f>VLOOKUP(C49,'BD  Materiales y equipos'!$B$3:$K$190,9,FALSE())*0.811905633063426</f>
        <v>11.693465551041299</v>
      </c>
      <c r="O49" s="194">
        <f>VLOOKUP(C49,'BD  Materiales y equipos'!$B$3:$K$190,10,FALSE())*1.14265904837007</f>
        <v>7.4073749219160865</v>
      </c>
    </row>
    <row r="50" spans="1:17" ht="13.5" thickBot="1">
      <c r="A50" s="584" t="str">
        <f>IF(VLOOKUP(C50,'BD  Materiales y equipos'!$B$3:$F$190,1,FALSE())=C50,"CORRECTO","NO LISTADO")</f>
        <v>CORRECTO</v>
      </c>
      <c r="B50" s="147" t="s">
        <v>411</v>
      </c>
      <c r="C50" s="147" t="s">
        <v>783</v>
      </c>
      <c r="D50" s="191" t="str">
        <f>VLOOKUP(C50,'BD  Materiales y equipos'!$B$3:$F$190,2,FALSE())</f>
        <v>Unidad</v>
      </c>
      <c r="E50" s="191">
        <f>VLOOKUP(C50,'BD  Materiales y equipos'!$B$3:$F$190,3,FALSE())</f>
        <v>0</v>
      </c>
      <c r="F50" s="191" t="str">
        <f>VLOOKUP(C50,'BD  Materiales y equipos'!$B$3:$F$190,4,FALSE())</f>
        <v>300#</v>
      </c>
      <c r="G50" s="133">
        <v>2</v>
      </c>
      <c r="H50" s="194">
        <f>VLOOKUP(C50,'BD  Materiales y equipos'!$B$3:$I$190,8,FALSE())*G50</f>
        <v>147.78919616005021</v>
      </c>
      <c r="I50" s="194">
        <f t="shared" si="2"/>
        <v>1208.2776859244098</v>
      </c>
      <c r="J50" s="194">
        <f t="shared" si="3"/>
        <v>1094.7299853660932</v>
      </c>
      <c r="K50" s="191" t="str">
        <f>VLOOKUP(C50,'BD  Materiales y equipos'!$B$3:$L$190,11,FALSE())</f>
        <v>IMPORTADO</v>
      </c>
      <c r="L50" s="436">
        <f t="shared" si="0"/>
        <v>1</v>
      </c>
      <c r="M50" s="421">
        <f t="shared" si="4"/>
        <v>1</v>
      </c>
      <c r="N50" s="194">
        <f>VLOOKUP(C50,'BD  Materiales y equipos'!$B$3:$K$190,9,FALSE())*0.811905633063426</f>
        <v>8.1756834553446645</v>
      </c>
      <c r="O50" s="194">
        <f>VLOOKUP(C50,'BD  Materiales y equipos'!$B$3:$K$190,10,FALSE())*1.14265904837007</f>
        <v>7.4073749219160865</v>
      </c>
    </row>
    <row r="51" spans="1:17" ht="13.5" thickBot="1">
      <c r="A51" s="584" t="str">
        <f>IF(VLOOKUP(C51,'BD  Materiales y equipos'!$B$3:$F$190,1,FALSE())=C51,"CORRECTO","NO LISTADO")</f>
        <v>CORRECTO</v>
      </c>
      <c r="B51" s="147" t="s">
        <v>411</v>
      </c>
      <c r="C51" s="147" t="s">
        <v>849</v>
      </c>
      <c r="D51" s="191" t="str">
        <f>VLOOKUP(C51,'BD  Materiales y equipos'!$B$3:$F$190,2,FALSE())</f>
        <v>Unidad</v>
      </c>
      <c r="E51" s="191">
        <f>VLOOKUP(C51,'BD  Materiales y equipos'!$B$3:$F$190,3,FALSE())</f>
        <v>0</v>
      </c>
      <c r="F51" s="191" t="str">
        <f>VLOOKUP(C51,'BD  Materiales y equipos'!$B$3:$F$190,4,FALSE())</f>
        <v>300#</v>
      </c>
      <c r="G51" s="133">
        <v>1</v>
      </c>
      <c r="H51" s="194">
        <f>VLOOKUP(C51,'BD  Materiales y equipos'!$B$3:$I$190,8,FALSE())*G51</f>
        <v>44.421480073069446</v>
      </c>
      <c r="I51" s="194">
        <f t="shared" si="2"/>
        <v>1125.4859243575702</v>
      </c>
      <c r="J51" s="194">
        <f t="shared" si="3"/>
        <v>329.04655748764981</v>
      </c>
      <c r="K51" s="191" t="str">
        <f>VLOOKUP(C51,'BD  Materiales y equipos'!$B$3:$L$190,11,FALSE())</f>
        <v>IMPORTADO</v>
      </c>
      <c r="L51" s="436">
        <f t="shared" si="0"/>
        <v>1</v>
      </c>
      <c r="M51" s="421">
        <f t="shared" si="4"/>
        <v>1</v>
      </c>
      <c r="N51" s="194">
        <f>VLOOKUP(C51,'BD  Materiales y equipos'!$B$3:$K$190,9,FALSE())*0.811905633063426</f>
        <v>25.3365246386713</v>
      </c>
      <c r="O51" s="194">
        <f>VLOOKUP(C51,'BD  Materiales y equipos'!$B$3:$K$190,10,FALSE())*1.14265904837007</f>
        <v>7.4073749219160865</v>
      </c>
    </row>
    <row r="52" spans="1:17" ht="13.5" thickBot="1">
      <c r="A52" s="584" t="str">
        <f>IF(VLOOKUP(C52,'BD  Materiales y equipos'!$B$3:$F$190,1,FALSE())=C52,"CORRECTO","NO LISTADO")</f>
        <v>CORRECTO</v>
      </c>
      <c r="B52" s="147" t="s">
        <v>411</v>
      </c>
      <c r="C52" s="147" t="s">
        <v>850</v>
      </c>
      <c r="D52" s="191" t="str">
        <f>VLOOKUP(C52,'BD  Materiales y equipos'!$B$3:$F$190,2,FALSE())</f>
        <v>Unidad</v>
      </c>
      <c r="E52" s="191">
        <f>VLOOKUP(C52,'BD  Materiales y equipos'!$B$3:$F$190,3,FALSE())</f>
        <v>0</v>
      </c>
      <c r="F52" s="191" t="str">
        <f>VLOOKUP(C52,'BD  Materiales y equipos'!$B$3:$F$190,4,FALSE())</f>
        <v>150#</v>
      </c>
      <c r="G52" s="133">
        <v>4</v>
      </c>
      <c r="H52" s="194">
        <f>VLOOKUP(C52,'BD  Materiales y equipos'!$B$3:$I$190,8,FALSE())*G52</f>
        <v>458.20586118698299</v>
      </c>
      <c r="I52" s="194">
        <f t="shared" si="2"/>
        <v>2809.8870080745264</v>
      </c>
      <c r="J52" s="194">
        <f t="shared" si="3"/>
        <v>2548.2532515212447</v>
      </c>
      <c r="K52" s="191" t="str">
        <f>VLOOKUP(C52,'BD  Materiales y equipos'!$B$3:$L$190,11,FALSE())</f>
        <v>IMPORTADO</v>
      </c>
      <c r="L52" s="436">
        <f t="shared" si="0"/>
        <v>1</v>
      </c>
      <c r="M52" s="421">
        <f t="shared" si="4"/>
        <v>1</v>
      </c>
      <c r="N52" s="194">
        <f>VLOOKUP(C52,'BD  Materiales y equipos'!$B$3:$K$190,9,FALSE())*0.811905633063426</f>
        <v>6.1323681037067264</v>
      </c>
      <c r="O52" s="194">
        <f>VLOOKUP(C52,'BD  Materiales y equipos'!$B$3:$K$190,10,FALSE())*1.14265904837007</f>
        <v>5.5613720106503894</v>
      </c>
    </row>
    <row r="53" spans="1:17" ht="13.5" thickBot="1">
      <c r="A53" s="584" t="str">
        <f>IF(VLOOKUP(C53,'BD  Materiales y equipos'!$B$3:$F$190,1,FALSE())=C53,"CORRECTO","NO LISTADO")</f>
        <v>CORRECTO</v>
      </c>
      <c r="B53" s="147" t="s">
        <v>411</v>
      </c>
      <c r="C53" s="147" t="s">
        <v>826</v>
      </c>
      <c r="D53" s="191" t="str">
        <f>VLOOKUP(C53,'BD  Materiales y equipos'!$B$3:$F$190,2,FALSE())</f>
        <v>Unidad</v>
      </c>
      <c r="E53" s="191">
        <f>VLOOKUP(C53,'BD  Materiales y equipos'!$B$3:$F$190,3,FALSE())</f>
        <v>0</v>
      </c>
      <c r="F53" s="191" t="str">
        <f>VLOOKUP(C53,'BD  Materiales y equipos'!$B$3:$F$190,4,FALSE())</f>
        <v>900#</v>
      </c>
      <c r="G53" s="133">
        <v>3</v>
      </c>
      <c r="H53" s="194">
        <f>VLOOKUP(C53,'BD  Materiales y equipos'!$B$3:$I$190,8,FALSE())*G53</f>
        <v>569.78967194236225</v>
      </c>
      <c r="I53" s="194">
        <f t="shared" si="2"/>
        <v>5364.7218390052949</v>
      </c>
      <c r="J53" s="194">
        <f t="shared" si="3"/>
        <v>3168.8123334979209</v>
      </c>
      <c r="K53" s="191" t="str">
        <f>VLOOKUP(C53,'BD  Materiales y equipos'!$B$3:$L$190,11,FALSE())</f>
        <v>IMPORTADO</v>
      </c>
      <c r="L53" s="436">
        <f t="shared" si="0"/>
        <v>1</v>
      </c>
      <c r="M53" s="421">
        <f t="shared" si="4"/>
        <v>1</v>
      </c>
      <c r="N53" s="194">
        <f>VLOOKUP(C53,'BD  Materiales y equipos'!$B$3:$K$190,9,FALSE())*0.811905633063426</f>
        <v>9.4152669014119468</v>
      </c>
      <c r="O53" s="194">
        <f>VLOOKUP(C53,'BD  Materiales y equipos'!$B$3:$K$190,10,FALSE())*1.14265904837007</f>
        <v>5.5613720106503894</v>
      </c>
    </row>
    <row r="54" spans="1:17" ht="13.5" thickBot="1">
      <c r="A54" s="584" t="str">
        <f>IF(VLOOKUP(C54,'BD  Materiales y equipos'!$B$3:$F$190,1,FALSE())=C54,"CORRECTO","NO LISTADO")</f>
        <v>CORRECTO</v>
      </c>
      <c r="B54" s="147" t="s">
        <v>411</v>
      </c>
      <c r="C54" s="147" t="s">
        <v>741</v>
      </c>
      <c r="D54" s="191" t="str">
        <f>VLOOKUP(C54,'BD  Materiales y equipos'!$B$3:$F$190,2,FALSE())</f>
        <v>Unidad</v>
      </c>
      <c r="E54" s="191">
        <f>VLOOKUP(C54,'BD  Materiales y equipos'!$B$3:$F$190,3,FALSE())</f>
        <v>0</v>
      </c>
      <c r="F54" s="191" t="str">
        <f>VLOOKUP(C54,'BD  Materiales y equipos'!$B$3:$F$190,4,FALSE())</f>
        <v>150#</v>
      </c>
      <c r="G54" s="133">
        <v>6</v>
      </c>
      <c r="H54" s="194">
        <f>VLOOKUP(C54,'BD  Materiales y equipos'!$B$3:$I$190,8,FALSE())*G54</f>
        <v>78.346079892074812</v>
      </c>
      <c r="I54" s="194">
        <f t="shared" si="2"/>
        <v>539.04832609254447</v>
      </c>
      <c r="J54" s="194">
        <f t="shared" si="3"/>
        <v>580.33878742298918</v>
      </c>
      <c r="K54" s="191" t="str">
        <f>VLOOKUP(C54,'BD  Materiales y equipos'!$B$3:$L$190,11,FALSE())</f>
        <v>IMPORTADO</v>
      </c>
      <c r="L54" s="436">
        <f t="shared" si="0"/>
        <v>1</v>
      </c>
      <c r="M54" s="421">
        <f t="shared" si="4"/>
        <v>1</v>
      </c>
      <c r="N54" s="194">
        <f>VLOOKUP(C54,'BD  Materiales y equipos'!$B$3:$K$190,9,FALSE())*0.811905633063426</f>
        <v>6.8803484084348243</v>
      </c>
      <c r="O54" s="194">
        <f>VLOOKUP(C54,'BD  Materiales y equipos'!$B$3:$K$190,10,FALSE())*1.14265904837007</f>
        <v>7.4073749219160865</v>
      </c>
    </row>
    <row r="55" spans="1:17" ht="13.5" thickBot="1">
      <c r="A55" s="584" t="str">
        <f>IF(VLOOKUP(C55,'BD  Materiales y equipos'!$B$3:$F$190,1,FALSE())=C55,"CORRECTO","NO LISTADO")</f>
        <v>CORRECTO</v>
      </c>
      <c r="B55" s="147" t="s">
        <v>411</v>
      </c>
      <c r="C55" s="147" t="s">
        <v>742</v>
      </c>
      <c r="D55" s="191" t="str">
        <f>VLOOKUP(C55,'BD  Materiales y equipos'!$B$3:$F$190,2,FALSE())</f>
        <v>Unidad</v>
      </c>
      <c r="E55" s="191">
        <f>VLOOKUP(C55,'BD  Materiales y equipos'!$B$3:$F$190,3,FALSE())</f>
        <v>0</v>
      </c>
      <c r="F55" s="191" t="str">
        <f>VLOOKUP(C55,'BD  Materiales y equipos'!$B$3:$F$190,4,FALSE())</f>
        <v>150#</v>
      </c>
      <c r="G55" s="133">
        <v>8</v>
      </c>
      <c r="H55" s="194">
        <f>VLOOKUP(C55,'BD  Materiales y equipos'!$B$3:$I$190,8,FALSE())*G55</f>
        <v>35.61185449639764</v>
      </c>
      <c r="I55" s="194">
        <f t="shared" si="2"/>
        <v>422.67738508773442</v>
      </c>
      <c r="J55" s="194">
        <f t="shared" si="3"/>
        <v>263.7903579195405</v>
      </c>
      <c r="K55" s="191" t="str">
        <f>VLOOKUP(C55,'BD  Materiales y equipos'!$B$3:$L$190,11,FALSE())</f>
        <v>IMPORTADO</v>
      </c>
      <c r="L55" s="436">
        <f t="shared" si="0"/>
        <v>1</v>
      </c>
      <c r="M55" s="421">
        <f t="shared" si="4"/>
        <v>1</v>
      </c>
      <c r="N55" s="194">
        <f>VLOOKUP(C55,'BD  Materiales y equipos'!$B$3:$K$190,9,FALSE())*0.811905633063426</f>
        <v>11.869007976837905</v>
      </c>
      <c r="O55" s="194">
        <f>VLOOKUP(C55,'BD  Materiales y equipos'!$B$3:$K$190,10,FALSE())*1.14265904837007</f>
        <v>7.4073749219160865</v>
      </c>
    </row>
    <row r="56" spans="1:17" ht="13.5" thickBot="1">
      <c r="A56" s="584" t="str">
        <f>IF(VLOOKUP(C56,'BD  Materiales y equipos'!$B$3:$F$190,1,FALSE())=C56,"CORRECTO","NO LISTADO")</f>
        <v>CORRECTO</v>
      </c>
      <c r="B56" s="147" t="s">
        <v>411</v>
      </c>
      <c r="C56" s="147" t="s">
        <v>851</v>
      </c>
      <c r="D56" s="191" t="str">
        <f>VLOOKUP(C56,'BD  Materiales y equipos'!$B$3:$F$190,2,FALSE())</f>
        <v>Unidad</v>
      </c>
      <c r="E56" s="191">
        <f>VLOOKUP(C56,'BD  Materiales y equipos'!$B$3:$F$190,3,FALSE())</f>
        <v>0</v>
      </c>
      <c r="F56" s="191">
        <f>VLOOKUP(C56,'BD  Materiales y equipos'!$B$3:$F$190,4,FALSE())</f>
        <v>0</v>
      </c>
      <c r="G56" s="133">
        <v>6</v>
      </c>
      <c r="H56" s="194">
        <f>VLOOKUP(C56,'BD  Materiales y equipos'!$B$3:$I$190,8,FALSE())*G56</f>
        <v>213.67112697838584</v>
      </c>
      <c r="I56" s="194">
        <f t="shared" si="2"/>
        <v>30739.061466574065</v>
      </c>
      <c r="J56" s="194">
        <f t="shared" si="3"/>
        <v>11968.392149179203</v>
      </c>
      <c r="K56" s="191" t="str">
        <f>VLOOKUP(C56,'BD  Materiales y equipos'!$B$3:$L$190,11,FALSE())</f>
        <v>IMPORTADO</v>
      </c>
      <c r="L56" s="436">
        <f t="shared" si="0"/>
        <v>1</v>
      </c>
      <c r="M56" s="421">
        <f t="shared" si="4"/>
        <v>1</v>
      </c>
      <c r="N56" s="194">
        <f>VLOOKUP(C56,'BD  Materiales y equipos'!$B$3:$K$190,9,FALSE())*0.811905633063426</f>
        <v>143.86155912250845</v>
      </c>
      <c r="O56" s="194">
        <f>VLOOKUP(C56,'BD  Materiales y equipos'!$B$3:$K$190,10,FALSE())*1.14265904837007</f>
        <v>56.013146551100839</v>
      </c>
    </row>
    <row r="57" spans="1:17" ht="39" thickBot="1">
      <c r="A57" s="585" t="str">
        <f>IF(VLOOKUP(C57,'BD  Materiales y equipos'!$B$3:$F$190,1,FALSE())=C57,"CORRECTO","NO LISTADO")</f>
        <v>CORRECTO</v>
      </c>
      <c r="B57" s="586" t="s">
        <v>412</v>
      </c>
      <c r="C57" s="586" t="s">
        <v>891</v>
      </c>
      <c r="D57" s="587" t="str">
        <f>VLOOKUP(C57,'BD  Materiales y equipos'!$B$3:$F$190,2,FALSE())</f>
        <v>Unidad</v>
      </c>
      <c r="E57" s="587">
        <f>VLOOKUP(C57,'BD  Materiales y equipos'!$B$3:$F$190,3,FALSE())</f>
        <v>0</v>
      </c>
      <c r="F57" s="587" t="str">
        <f>VLOOKUP(C57,'BD  Materiales y equipos'!$B$3:$F$190,4,FALSE())</f>
        <v>150#</v>
      </c>
      <c r="G57" s="599">
        <v>1</v>
      </c>
      <c r="H57" s="589">
        <f>VLOOKUP(C57,'BD  Materiales y equipos'!$B$3:$I$190,8,FALSE())*G57</f>
        <v>83.094327158261166</v>
      </c>
      <c r="I57" s="589">
        <f t="shared" si="2"/>
        <v>57061.273448153988</v>
      </c>
      <c r="J57" s="589">
        <f t="shared" si="3"/>
        <v>18529.335367900399</v>
      </c>
      <c r="K57" s="587" t="str">
        <f>VLOOKUP(C57,'BD  Materiales y equipos'!$B$3:$L$190,11,FALSE())</f>
        <v>IMPORTADO</v>
      </c>
      <c r="L57" s="436">
        <f>ppi_usa_bom_ind/ppi_usa_bom_ind_base</f>
        <v>1</v>
      </c>
      <c r="M57" s="421">
        <f t="shared" si="4"/>
        <v>1</v>
      </c>
      <c r="N57" s="589">
        <f>VLOOKUP(C57,'BD  Materiales y equipos'!$B$3:$K$190,9,FALSE())*1.28149014580997</f>
        <v>686.7048016343557</v>
      </c>
      <c r="O57" s="589">
        <f>VLOOKUP(C57,'BD  Materiales y equipos'!$B$3:$K$190,10,FALSE())*1.14265904837007</f>
        <v>222.9915807923866</v>
      </c>
      <c r="P57" s="70"/>
      <c r="Q57" s="664"/>
    </row>
  </sheetData>
  <conditionalFormatting sqref="A2:A57">
    <cfRule type="cellIs" dxfId="25" priority="2" operator="equal">
      <formula>"CORRECTO"</formula>
    </cfRule>
    <cfRule type="cellIs" dxfId="24"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6">
    <tabColor theme="5" tint="0.79998168889431442"/>
  </sheetPr>
  <dimension ref="C2:Q15"/>
  <sheetViews>
    <sheetView showGridLines="0" showRowColHeaders="0" topLeftCell="E1" zoomScaleNormal="100" workbookViewId="0">
      <pane ySplit="5" topLeftCell="A8" activePane="bottomLeft" state="frozen"/>
      <selection activeCell="C17" sqref="C17:H17"/>
      <selection pane="bottomLeft" activeCell="C17" sqref="C17:H17"/>
    </sheetView>
  </sheetViews>
  <sheetFormatPr baseColWidth="10" defaultColWidth="9.140625" defaultRowHeight="12.75"/>
  <cols>
    <col min="1" max="1" width="4" customWidth="1"/>
    <col min="2" max="2" width="4.140625" customWidth="1"/>
    <col min="3" max="3" width="6.7109375" customWidth="1"/>
    <col min="4" max="4" width="36.7109375" customWidth="1"/>
    <col min="5" max="8" width="12.42578125" customWidth="1"/>
    <col min="9" max="9" width="10" customWidth="1"/>
    <col min="10" max="10" width="10.85546875" customWidth="1"/>
    <col min="11" max="11" width="6.7109375" customWidth="1"/>
    <col min="12" max="12" width="13.140625" customWidth="1"/>
    <col min="13" max="13" width="18.85546875" customWidth="1"/>
    <col min="14" max="14" width="11.42578125"/>
    <col min="15" max="15" width="16.42578125" customWidth="1"/>
    <col min="16" max="16" width="22.28515625" bestFit="1" customWidth="1"/>
    <col min="17" max="17" width="15.5703125" bestFit="1" customWidth="1"/>
    <col min="18" max="1025" width="8.42578125" customWidth="1"/>
  </cols>
  <sheetData>
    <row r="2" spans="3:17" ht="13.5" thickBot="1"/>
    <row r="3" spans="3:17" ht="13.5" thickBot="1">
      <c r="L3" s="472" t="s">
        <v>129</v>
      </c>
      <c r="M3" s="423">
        <f>trm</f>
        <v>4385.1487096774199</v>
      </c>
    </row>
    <row r="4" spans="3:17" ht="13.5" thickBot="1"/>
    <row r="5" spans="3:17" ht="25.5" customHeight="1" thickBot="1">
      <c r="C5" s="687" t="s">
        <v>967</v>
      </c>
      <c r="D5" s="687"/>
      <c r="E5" s="688" t="s">
        <v>968</v>
      </c>
      <c r="F5" s="688"/>
      <c r="G5" s="688"/>
      <c r="H5" s="688"/>
      <c r="I5" s="196" t="s">
        <v>969</v>
      </c>
      <c r="J5" s="196" t="s">
        <v>970</v>
      </c>
      <c r="K5" s="196" t="s">
        <v>715</v>
      </c>
      <c r="L5" s="196" t="s">
        <v>971</v>
      </c>
      <c r="M5" s="196" t="s">
        <v>972</v>
      </c>
      <c r="N5" s="196" t="s">
        <v>973</v>
      </c>
      <c r="O5" s="197" t="s">
        <v>974</v>
      </c>
      <c r="P5" s="502" t="s">
        <v>975</v>
      </c>
      <c r="Q5" s="196" t="s">
        <v>976</v>
      </c>
    </row>
    <row r="6" spans="3:17" ht="13.5" thickBot="1"/>
    <row r="7" spans="3:17" s="198" customFormat="1" ht="13.5" thickBot="1">
      <c r="C7" s="199" t="s">
        <v>546</v>
      </c>
      <c r="D7" s="200" t="s">
        <v>547</v>
      </c>
    </row>
    <row r="8" spans="3:17" ht="24.95" customHeight="1" thickBot="1">
      <c r="C8" s="201" t="s">
        <v>977</v>
      </c>
      <c r="D8" s="202" t="s">
        <v>978</v>
      </c>
      <c r="E8" s="777" t="s">
        <v>979</v>
      </c>
      <c r="F8" s="777"/>
      <c r="G8" s="777"/>
      <c r="H8" s="777"/>
      <c r="I8" s="203">
        <v>1</v>
      </c>
      <c r="J8" s="204">
        <v>1</v>
      </c>
      <c r="K8" s="205" t="s">
        <v>980</v>
      </c>
      <c r="L8" s="206">
        <f t="shared" ref="L8:L14" si="0">M8/$M$3</f>
        <v>57759.925403547073</v>
      </c>
      <c r="M8" s="207">
        <f>Q8*P8</f>
        <v>253285862.35442847</v>
      </c>
      <c r="N8" s="206">
        <f t="shared" ref="N8:N14" si="1">L8*J8*I8</f>
        <v>57759.925403547073</v>
      </c>
      <c r="O8" s="208">
        <f t="shared" ref="O8:O14" si="2">M8*J8*I8</f>
        <v>253285862.35442847</v>
      </c>
      <c r="P8" s="436">
        <f>+acero/acero_base*(trm/trm_base)</f>
        <v>1</v>
      </c>
      <c r="Q8" s="207">
        <v>253285862.35442847</v>
      </c>
    </row>
    <row r="9" spans="3:17" ht="24.95" customHeight="1" thickBot="1">
      <c r="C9" s="209" t="s">
        <v>981</v>
      </c>
      <c r="D9" s="210" t="s">
        <v>982</v>
      </c>
      <c r="E9" s="774" t="s">
        <v>983</v>
      </c>
      <c r="F9" s="774"/>
      <c r="G9" s="774"/>
      <c r="H9" s="774"/>
      <c r="I9" s="211">
        <v>1</v>
      </c>
      <c r="J9" s="212">
        <v>1</v>
      </c>
      <c r="K9" s="213" t="s">
        <v>984</v>
      </c>
      <c r="L9" s="214">
        <f t="shared" si="0"/>
        <v>37647.094236240497</v>
      </c>
      <c r="M9" s="215">
        <f t="shared" ref="M9:M14" si="3">Q9*P9</f>
        <v>165088106.71315426</v>
      </c>
      <c r="N9" s="214">
        <f t="shared" si="1"/>
        <v>37647.094236240497</v>
      </c>
      <c r="O9" s="216">
        <f t="shared" si="2"/>
        <v>165088106.71315426</v>
      </c>
      <c r="P9" s="436">
        <f>+acero/acero_base*(trm/trm_base)</f>
        <v>1</v>
      </c>
      <c r="Q9" s="215">
        <v>165088106.71315426</v>
      </c>
    </row>
    <row r="10" spans="3:17" ht="24.95" customHeight="1" thickBot="1">
      <c r="C10" s="209" t="s">
        <v>985</v>
      </c>
      <c r="D10" s="210" t="s">
        <v>986</v>
      </c>
      <c r="E10" s="774" t="s">
        <v>987</v>
      </c>
      <c r="F10" s="774"/>
      <c r="G10" s="774"/>
      <c r="H10" s="774"/>
      <c r="I10" s="211">
        <v>1</v>
      </c>
      <c r="J10" s="212">
        <v>1</v>
      </c>
      <c r="K10" s="213" t="s">
        <v>980</v>
      </c>
      <c r="L10" s="214">
        <f t="shared" si="0"/>
        <v>23207.112885353734</v>
      </c>
      <c r="M10" s="215">
        <f t="shared" si="3"/>
        <v>101766641.12454715</v>
      </c>
      <c r="N10" s="214">
        <f t="shared" si="1"/>
        <v>23207.112885353734</v>
      </c>
      <c r="O10" s="216">
        <f t="shared" si="2"/>
        <v>101766641.12454715</v>
      </c>
      <c r="P10" s="436">
        <f>+acero/acero_base*(trm/trm_base)</f>
        <v>1</v>
      </c>
      <c r="Q10" s="215">
        <v>101766641.12454715</v>
      </c>
    </row>
    <row r="11" spans="3:17" ht="24.95" customHeight="1" thickBot="1">
      <c r="C11" s="209" t="s">
        <v>988</v>
      </c>
      <c r="D11" s="210" t="s">
        <v>989</v>
      </c>
      <c r="E11" s="774" t="s">
        <v>990</v>
      </c>
      <c r="F11" s="774"/>
      <c r="G11" s="774"/>
      <c r="H11" s="774"/>
      <c r="I11" s="211">
        <v>1</v>
      </c>
      <c r="J11" s="212">
        <v>1</v>
      </c>
      <c r="K11" s="213" t="s">
        <v>984</v>
      </c>
      <c r="L11" s="214">
        <f t="shared" si="0"/>
        <v>8911.5313479758333</v>
      </c>
      <c r="M11" s="215">
        <f t="shared" si="3"/>
        <v>39078390.191826105</v>
      </c>
      <c r="N11" s="214">
        <f t="shared" si="1"/>
        <v>8911.5313479758333</v>
      </c>
      <c r="O11" s="216">
        <f t="shared" si="2"/>
        <v>39078390.191826105</v>
      </c>
      <c r="P11" s="436">
        <f>+acero/acero_base*(trm/trm_base)</f>
        <v>1</v>
      </c>
      <c r="Q11" s="215">
        <v>39078390.191826105</v>
      </c>
    </row>
    <row r="12" spans="3:17" ht="24.95" customHeight="1" thickBot="1">
      <c r="C12" s="209" t="s">
        <v>991</v>
      </c>
      <c r="D12" s="210" t="s">
        <v>992</v>
      </c>
      <c r="E12" s="774" t="s">
        <v>993</v>
      </c>
      <c r="F12" s="774"/>
      <c r="G12" s="774"/>
      <c r="H12" s="774"/>
      <c r="I12" s="211">
        <v>1</v>
      </c>
      <c r="J12" s="212">
        <v>1</v>
      </c>
      <c r="K12" s="213" t="s">
        <v>984</v>
      </c>
      <c r="L12" s="214">
        <f t="shared" si="0"/>
        <v>4161.7794347728886</v>
      </c>
      <c r="M12" s="215">
        <f t="shared" si="3"/>
        <v>18250021.718356356</v>
      </c>
      <c r="N12" s="214">
        <f t="shared" si="1"/>
        <v>4161.7794347728886</v>
      </c>
      <c r="O12" s="216">
        <f t="shared" si="2"/>
        <v>18250021.718356356</v>
      </c>
      <c r="P12" s="436">
        <f>ipc/ipc_base</f>
        <v>1</v>
      </c>
      <c r="Q12" s="215">
        <v>18250021.718356356</v>
      </c>
    </row>
    <row r="13" spans="3:17" ht="24.95" customHeight="1" thickBot="1">
      <c r="C13" s="209" t="s">
        <v>994</v>
      </c>
      <c r="D13" s="217" t="s">
        <v>995</v>
      </c>
      <c r="E13" s="774" t="s">
        <v>996</v>
      </c>
      <c r="F13" s="774"/>
      <c r="G13" s="774"/>
      <c r="H13" s="774"/>
      <c r="I13" s="211">
        <v>1</v>
      </c>
      <c r="J13" s="212">
        <v>1</v>
      </c>
      <c r="K13" s="213" t="s">
        <v>980</v>
      </c>
      <c r="L13" s="214">
        <f t="shared" si="0"/>
        <v>5388.3732648625883</v>
      </c>
      <c r="M13" s="215">
        <f t="shared" si="3"/>
        <v>23628818.069672484</v>
      </c>
      <c r="N13" s="214">
        <f t="shared" si="1"/>
        <v>5388.3732648625883</v>
      </c>
      <c r="O13" s="216">
        <f t="shared" si="2"/>
        <v>23628818.069672484</v>
      </c>
      <c r="P13" s="436">
        <f>0.65*ipc/ipc_base+0.35*fac_mano_obra*(trm/trm_base)</f>
        <v>1</v>
      </c>
      <c r="Q13" s="215">
        <v>23628818.069672484</v>
      </c>
    </row>
    <row r="14" spans="3:17" ht="24.95" customHeight="1" thickBot="1">
      <c r="C14" s="218" t="s">
        <v>997</v>
      </c>
      <c r="D14" s="219" t="s">
        <v>998</v>
      </c>
      <c r="E14" s="775" t="s">
        <v>999</v>
      </c>
      <c r="F14" s="775"/>
      <c r="G14" s="775"/>
      <c r="H14" s="775"/>
      <c r="I14" s="220">
        <v>1</v>
      </c>
      <c r="J14" s="221">
        <v>1</v>
      </c>
      <c r="K14" s="222" t="s">
        <v>980</v>
      </c>
      <c r="L14" s="223">
        <f t="shared" si="0"/>
        <v>12027.220255203501</v>
      </c>
      <c r="M14" s="224">
        <f t="shared" si="3"/>
        <v>52741149.38311176</v>
      </c>
      <c r="N14" s="223">
        <f t="shared" si="1"/>
        <v>12027.220255203501</v>
      </c>
      <c r="O14" s="225">
        <f t="shared" si="2"/>
        <v>52741149.38311176</v>
      </c>
      <c r="P14" s="436">
        <f>ppi_usa_inst_control/ppi_usa_inst_control_base*(trm/trm_base)</f>
        <v>1</v>
      </c>
      <c r="Q14" s="224">
        <v>52741149.38311176</v>
      </c>
    </row>
    <row r="15" spans="3:17" s="188" customFormat="1" ht="15.75" thickBot="1">
      <c r="I15" s="776" t="s">
        <v>1000</v>
      </c>
      <c r="J15" s="776"/>
      <c r="K15" s="776"/>
      <c r="L15" s="776"/>
      <c r="M15" s="776"/>
      <c r="N15" s="226">
        <f>SUM(N4:N11)</f>
        <v>127525.66387311714</v>
      </c>
      <c r="O15" s="227">
        <f>SUM(O8:O14)</f>
        <v>653838989.55509651</v>
      </c>
    </row>
  </sheetData>
  <sheetProtection algorithmName="SHA-512" hashValue="o2fL1V4E6TL7wDt+Bns8L+FLaRDwgmbzpd06UR84BgntAMFil5sl6wjKjxCAe701VDgoI6n6NE1oEJkXRTgISg==" saltValue="9OYteeTu52V1ZagCAJyhUA==" spinCount="100000"/>
  <mergeCells count="10">
    <mergeCell ref="C5:D5"/>
    <mergeCell ref="E5:H5"/>
    <mergeCell ref="E8:H8"/>
    <mergeCell ref="E9:H9"/>
    <mergeCell ref="E10:H10"/>
    <mergeCell ref="E11:H11"/>
    <mergeCell ref="E12:H12"/>
    <mergeCell ref="E13:H13"/>
    <mergeCell ref="E14:H14"/>
    <mergeCell ref="I15:M15"/>
  </mergeCells>
  <pageMargins left="0.78749999999999998" right="0.78749999999999998" top="1.0249999999999999" bottom="1.0249999999999999" header="0.78749999999999998" footer="0.78749999999999998"/>
  <pageSetup firstPageNumber="0" orientation="portrait" horizontalDpi="300" verticalDpi="300"/>
  <headerFooter>
    <oddHeader>&amp;C&amp;A</oddHeader>
    <oddFooter>&amp;CPage &amp;P</oddFooter>
  </headerFooter>
  <legacy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7">
    <tabColor theme="5" tint="0.79998168889431442"/>
  </sheetPr>
  <dimension ref="A1:O16"/>
  <sheetViews>
    <sheetView showGridLines="0" showRowColHeaders="0" topLeftCell="K3" zoomScaleNormal="100" workbookViewId="0">
      <selection activeCell="C17" sqref="C17:H17"/>
    </sheetView>
  </sheetViews>
  <sheetFormatPr baseColWidth="10" defaultColWidth="9.140625" defaultRowHeight="12.75"/>
  <cols>
    <col min="1" max="1" width="11.28515625" customWidth="1"/>
    <col min="2" max="2" width="13.140625" customWidth="1"/>
    <col min="3" max="3" width="61.28515625" customWidth="1"/>
    <col min="4" max="4" width="10.7109375" style="122" customWidth="1"/>
    <col min="5" max="5" width="14" style="122" customWidth="1"/>
    <col min="6" max="6" width="6.85546875" customWidth="1"/>
    <col min="7" max="7" width="13.42578125" customWidth="1"/>
    <col min="8" max="8" width="15" style="190" customWidth="1"/>
    <col min="9" max="9" width="15.28515625" style="190" customWidth="1"/>
    <col min="10" max="10" width="12.7109375" style="190" customWidth="1"/>
    <col min="11" max="11" width="10.7109375" customWidth="1"/>
    <col min="12" max="1025" width="16.42578125" customWidth="1"/>
  </cols>
  <sheetData>
    <row r="1" spans="1:15" ht="57" thickBot="1">
      <c r="A1" s="596" t="s">
        <v>955</v>
      </c>
      <c r="B1" s="597" t="s">
        <v>956</v>
      </c>
      <c r="C1" s="597" t="s">
        <v>957</v>
      </c>
      <c r="D1" s="597" t="s">
        <v>699</v>
      </c>
      <c r="E1" s="597" t="s">
        <v>700</v>
      </c>
      <c r="F1" s="597" t="s">
        <v>701</v>
      </c>
      <c r="G1" s="597" t="s">
        <v>673</v>
      </c>
      <c r="H1" s="598" t="s">
        <v>958</v>
      </c>
      <c r="I1" s="598" t="s">
        <v>964</v>
      </c>
      <c r="J1" s="598" t="s">
        <v>960</v>
      </c>
      <c r="K1" s="604" t="s">
        <v>706</v>
      </c>
      <c r="L1" s="605" t="s">
        <v>1001</v>
      </c>
      <c r="M1" s="197" t="s">
        <v>962</v>
      </c>
      <c r="N1" s="598" t="s">
        <v>965</v>
      </c>
      <c r="O1" s="598" t="s">
        <v>966</v>
      </c>
    </row>
    <row r="2" spans="1:15" ht="13.5" thickBot="1">
      <c r="A2" s="607" t="str">
        <f>IF(VLOOKUP(C2,'BD  Materiales y equipos'!$B$3:$F$190,1,FALSE())=C2,"CORRECTO","NO LISTADO")</f>
        <v>CORRECTO</v>
      </c>
      <c r="B2" s="608" t="s">
        <v>411</v>
      </c>
      <c r="C2" s="608" t="s">
        <v>744</v>
      </c>
      <c r="D2" s="609" t="str">
        <f>VLOOKUP(C2,'BD  Materiales y equipos'!$B$3:$F$190,2,FALSE())</f>
        <v>Metro lineal</v>
      </c>
      <c r="E2" s="609" t="str">
        <f>VLOOKUP(C2,'BD  Materiales y equipos'!$B$3:$F$190,3,FALSE())</f>
        <v>STD</v>
      </c>
      <c r="F2" s="609">
        <f>VLOOKUP(C2,'BD  Materiales y equipos'!$B$3:$F$190,4,FALSE())</f>
        <v>0</v>
      </c>
      <c r="G2" s="610">
        <v>48</v>
      </c>
      <c r="H2" s="611">
        <f>VLOOKUP(C2,'BD  Materiales y equipos'!$B$3:$K$190,8,FALSE())*G2</f>
        <v>1053.3540155267565</v>
      </c>
      <c r="I2" s="611">
        <f>N2*H2*L2</f>
        <v>2474.992627065802</v>
      </c>
      <c r="J2" s="611">
        <f>O2*$H2*M2</f>
        <v>3633.3653891137192</v>
      </c>
      <c r="K2" s="609" t="str">
        <f>VLOOKUP(C2,'BD  Materiales y equipos'!$B$3:$L$190,11,FALSE())</f>
        <v>IMPORTADO</v>
      </c>
      <c r="L2" s="436">
        <f t="shared" ref="L2:L16" si="0">+acero/acero_base</f>
        <v>1</v>
      </c>
      <c r="M2" s="421">
        <f t="shared" ref="M2:M16" si="1">(0.65*ipc/ipc_base*trm_base/trm+0.35*fac_mano_obra)</f>
        <v>1</v>
      </c>
      <c r="N2" s="611">
        <f>VLOOKUP(C2,'BD  Materiales y equipos'!$B$3:$K$190,9,FALSE())*0.811905633063426</f>
        <v>2.3496304097042997</v>
      </c>
      <c r="O2" s="611">
        <f>VLOOKUP(C2,'BD  Materiales y equipos'!$B$3:$K$190,10,FALSE())*1.14265904837007</f>
        <v>3.4493297937415299</v>
      </c>
    </row>
    <row r="3" spans="1:15" ht="13.5" thickBot="1">
      <c r="A3" s="584" t="str">
        <f>IF(VLOOKUP(C3,'BD  Materiales y equipos'!$B$3:$F$190,1,FALSE())=C3,"CORRECTO","NO LISTADO")</f>
        <v>CORRECTO</v>
      </c>
      <c r="B3" s="147" t="s">
        <v>411</v>
      </c>
      <c r="C3" s="147" t="s">
        <v>747</v>
      </c>
      <c r="D3" s="191" t="str">
        <f>VLOOKUP(C3,'BD  Materiales y equipos'!$B$3:$F$190,2,FALSE())</f>
        <v>Unidad</v>
      </c>
      <c r="E3" s="191" t="str">
        <f>VLOOKUP(C3,'BD  Materiales y equipos'!$B$3:$F$190,3,FALSE())</f>
        <v>STD</v>
      </c>
      <c r="F3" s="191">
        <f>VLOOKUP(C3,'BD  Materiales y equipos'!$B$3:$F$190,4,FALSE())</f>
        <v>0</v>
      </c>
      <c r="G3" s="133">
        <v>6</v>
      </c>
      <c r="H3" s="194">
        <f>VLOOKUP(C3,'BD  Materiales y equipos'!$B$3:$K$190,8,FALSE())*G3</f>
        <v>66.22838847257627</v>
      </c>
      <c r="I3" s="194">
        <f t="shared" ref="I3:I16" si="2">N3*H3*L3</f>
        <v>2717.8657353292742</v>
      </c>
      <c r="J3" s="194">
        <f t="shared" ref="J3:J16" si="3">O3*$H3*M3</f>
        <v>1664.5823710954112</v>
      </c>
      <c r="K3" s="191" t="str">
        <f>VLOOKUP(C3,'BD  Materiales y equipos'!$B$3:$L$190,11,FALSE())</f>
        <v>IMPORTADO</v>
      </c>
      <c r="L3" s="436">
        <f t="shared" si="0"/>
        <v>1</v>
      </c>
      <c r="M3" s="421">
        <f t="shared" si="1"/>
        <v>1</v>
      </c>
      <c r="N3" s="194">
        <f>VLOOKUP(C3,'BD  Materiales y equipos'!$B$3:$K$190,9,FALSE())*0.811905633063426</f>
        <v>41.037775461721871</v>
      </c>
      <c r="O3" s="194">
        <f>VLOOKUP(C3,'BD  Materiales y equipos'!$B$3:$K$190,10,FALSE())*1.14265904837007</f>
        <v>25.133970635336816</v>
      </c>
    </row>
    <row r="4" spans="1:15" ht="13.5" thickBot="1">
      <c r="A4" s="584" t="str">
        <f>IF(VLOOKUP(C4,'BD  Materiales y equipos'!$B$3:$F$190,1,FALSE())=C4,"CORRECTO","NO LISTADO")</f>
        <v>CORRECTO</v>
      </c>
      <c r="B4" s="147" t="s">
        <v>411</v>
      </c>
      <c r="C4" s="147" t="s">
        <v>750</v>
      </c>
      <c r="D4" s="191" t="str">
        <f>VLOOKUP(C4,'BD  Materiales y equipos'!$B$3:$F$190,2,FALSE())</f>
        <v>Unidad</v>
      </c>
      <c r="E4" s="191">
        <f>VLOOKUP(C4,'BD  Materiales y equipos'!$B$3:$F$190,3,FALSE())</f>
        <v>0</v>
      </c>
      <c r="F4" s="191" t="str">
        <f>VLOOKUP(C4,'BD  Materiales y equipos'!$B$3:$F$190,4,FALSE())</f>
        <v>300#</v>
      </c>
      <c r="G4" s="133">
        <v>2</v>
      </c>
      <c r="H4" s="194">
        <f>VLOOKUP(C4,'BD  Materiales y equipos'!$B$3:$K$190,8,FALSE())*G4</f>
        <v>37.690952789271044</v>
      </c>
      <c r="I4" s="194">
        <f t="shared" si="2"/>
        <v>572.00472124749149</v>
      </c>
      <c r="J4" s="194">
        <f t="shared" si="3"/>
        <v>238.67033344738081</v>
      </c>
      <c r="K4" s="191" t="str">
        <f>VLOOKUP(C4,'BD  Materiales y equipos'!$B$3:$L$190,11,FALSE())</f>
        <v>IMPORTADO</v>
      </c>
      <c r="L4" s="436">
        <f t="shared" si="0"/>
        <v>1</v>
      </c>
      <c r="M4" s="421">
        <f t="shared" si="1"/>
        <v>1</v>
      </c>
      <c r="N4" s="194">
        <f>VLOOKUP(C4,'BD  Materiales y equipos'!$B$3:$K$190,9,FALSE())*0.811905633063426</f>
        <v>15.176180990848183</v>
      </c>
      <c r="O4" s="194">
        <f>VLOOKUP(C4,'BD  Materiales y equipos'!$B$3:$K$190,10,FALSE())*1.14265904837007</f>
        <v>6.3322976944037288</v>
      </c>
    </row>
    <row r="5" spans="1:15" ht="13.5" thickBot="1">
      <c r="A5" s="584" t="str">
        <f>IF(VLOOKUP(C5,'BD  Materiales y equipos'!$B$3:$F$190,1,FALSE())=C5,"CORRECTO","NO LISTADO")</f>
        <v>CORRECTO</v>
      </c>
      <c r="B5" s="147" t="s">
        <v>411</v>
      </c>
      <c r="C5" s="147" t="s">
        <v>773</v>
      </c>
      <c r="D5" s="191" t="str">
        <f>VLOOKUP(C5,'BD  Materiales y equipos'!$B$3:$F$190,2,FALSE())</f>
        <v>Unidad</v>
      </c>
      <c r="E5" s="191">
        <f>VLOOKUP(C5,'BD  Materiales y equipos'!$B$3:$F$190,3,FALSE())</f>
        <v>0</v>
      </c>
      <c r="F5" s="191" t="str">
        <f>VLOOKUP(C5,'BD  Materiales y equipos'!$B$3:$F$190,4,FALSE())</f>
        <v>300#</v>
      </c>
      <c r="G5" s="133">
        <v>4</v>
      </c>
      <c r="H5" s="194">
        <f>VLOOKUP(C5,'BD  Materiales y equipos'!$B$3:$K$190,8,FALSE())*G5</f>
        <v>22.076129490858758</v>
      </c>
      <c r="I5" s="194">
        <f t="shared" si="2"/>
        <v>478.0359591217441</v>
      </c>
      <c r="J5" s="194">
        <f t="shared" si="3"/>
        <v>182.48781761637383</v>
      </c>
      <c r="K5" s="191" t="str">
        <f>VLOOKUP(C5,'BD  Materiales y equipos'!$B$3:$L$190,11,FALSE())</f>
        <v>IMPORTADO</v>
      </c>
      <c r="L5" s="436">
        <f t="shared" si="0"/>
        <v>1</v>
      </c>
      <c r="M5" s="421">
        <f t="shared" si="1"/>
        <v>1</v>
      </c>
      <c r="N5" s="194">
        <f>VLOOKUP(C5,'BD  Materiales y equipos'!$B$3:$K$190,9,FALSE())*0.811905633063426</f>
        <v>21.65397513724896</v>
      </c>
      <c r="O5" s="194">
        <f>VLOOKUP(C5,'BD  Materiales y equipos'!$B$3:$K$190,10,FALSE())*1.14265904837007</f>
        <v>8.2662958509977056</v>
      </c>
    </row>
    <row r="6" spans="1:15" ht="13.5" thickBot="1">
      <c r="A6" s="584" t="str">
        <f>IF(VLOOKUP(C6,'BD  Materiales y equipos'!$B$3:$F$190,1,FALSE())=C6,"CORRECTO","NO LISTADO")</f>
        <v>CORRECTO</v>
      </c>
      <c r="B6" s="147" t="s">
        <v>411</v>
      </c>
      <c r="C6" s="147" t="s">
        <v>812</v>
      </c>
      <c r="D6" s="191" t="str">
        <f>VLOOKUP(C6,'BD  Materiales y equipos'!$B$3:$F$190,2,FALSE())</f>
        <v>Unidad</v>
      </c>
      <c r="E6" s="191" t="str">
        <f>VLOOKUP(C6,'BD  Materiales y equipos'!$B$3:$F$190,3,FALSE())</f>
        <v>STD</v>
      </c>
      <c r="F6" s="191">
        <f>VLOOKUP(C6,'BD  Materiales y equipos'!$B$3:$F$190,4,FALSE())</f>
        <v>0</v>
      </c>
      <c r="G6" s="133">
        <v>4</v>
      </c>
      <c r="H6" s="194">
        <f>VLOOKUP(C6,'BD  Materiales y equipos'!$B$3:$K$190,8,FALSE())*G6</f>
        <v>68.920599386095631</v>
      </c>
      <c r="I6" s="194">
        <f t="shared" si="2"/>
        <v>2172.3650239121212</v>
      </c>
      <c r="J6" s="194">
        <f t="shared" si="3"/>
        <v>798.13934548391933</v>
      </c>
      <c r="K6" s="191" t="str">
        <f>VLOOKUP(C6,'BD  Materiales y equipos'!$B$3:$L$190,11,FALSE())</f>
        <v>IMPORTADO</v>
      </c>
      <c r="L6" s="436">
        <f t="shared" si="0"/>
        <v>1</v>
      </c>
      <c r="M6" s="421">
        <f t="shared" si="1"/>
        <v>1</v>
      </c>
      <c r="N6" s="194">
        <f>VLOOKUP(C6,'BD  Materiales y equipos'!$B$3:$K$190,9,FALSE())*0.811905633063426</f>
        <v>31.519821987363397</v>
      </c>
      <c r="O6" s="194">
        <f>VLOOKUP(C6,'BD  Materiales y equipos'!$B$3:$K$190,10,FALSE())*1.14265904837007</f>
        <v>11.580563033306117</v>
      </c>
    </row>
    <row r="7" spans="1:15" ht="13.5" thickBot="1">
      <c r="A7" s="584" t="str">
        <f>IF(VLOOKUP(C7,'BD  Materiales y equipos'!$B$3:$F$190,1,FALSE())=C7,"CORRECTO","NO LISTADO")</f>
        <v>CORRECTO</v>
      </c>
      <c r="B7" s="147" t="s">
        <v>411</v>
      </c>
      <c r="C7" s="147" t="s">
        <v>906</v>
      </c>
      <c r="D7" s="191" t="str">
        <f>VLOOKUP(C7,'BD  Materiales y equipos'!$B$3:$F$190,2,FALSE())</f>
        <v>Unidad</v>
      </c>
      <c r="E7" s="191" t="str">
        <f>VLOOKUP(C7,'BD  Materiales y equipos'!$B$3:$F$190,3,FALSE())</f>
        <v>STD</v>
      </c>
      <c r="F7" s="191">
        <f>VLOOKUP(C7,'BD  Materiales y equipos'!$B$3:$F$190,4,FALSE())</f>
        <v>0</v>
      </c>
      <c r="G7" s="133">
        <v>2</v>
      </c>
      <c r="H7" s="194">
        <f>VLOOKUP(C7,'BD  Materiales y equipos'!$B$3:$K$190,8,FALSE())*G7</f>
        <v>8.8851576968512127</v>
      </c>
      <c r="I7" s="194">
        <f t="shared" si="2"/>
        <v>477.84937089253873</v>
      </c>
      <c r="J7" s="194">
        <f t="shared" si="3"/>
        <v>123.45690299618444</v>
      </c>
      <c r="K7" s="191" t="str">
        <f>VLOOKUP(C7,'BD  Materiales y equipos'!$B$3:$L$190,11,FALSE())</f>
        <v>IMPORTADO</v>
      </c>
      <c r="L7" s="436">
        <f t="shared" si="0"/>
        <v>1</v>
      </c>
      <c r="M7" s="421">
        <f t="shared" si="1"/>
        <v>1</v>
      </c>
      <c r="N7" s="194">
        <f>VLOOKUP(C7,'BD  Materiales y equipos'!$B$3:$K$190,9,FALSE())*0.811905633063426</f>
        <v>53.780629134121334</v>
      </c>
      <c r="O7" s="194">
        <f>VLOOKUP(C7,'BD  Materiales y equipos'!$B$3:$K$190,10,FALSE())*1.14265904837007</f>
        <v>13.894734028180052</v>
      </c>
    </row>
    <row r="8" spans="1:15" ht="13.5" thickBot="1">
      <c r="A8" s="584" t="str">
        <f>IF(VLOOKUP(C8,'BD  Materiales y equipos'!$B$3:$F$190,1,FALSE())=C8,"CORRECTO","NO LISTADO")</f>
        <v>CORRECTO</v>
      </c>
      <c r="B8" s="147" t="s">
        <v>411</v>
      </c>
      <c r="C8" s="147" t="s">
        <v>759</v>
      </c>
      <c r="D8" s="191" t="str">
        <f>VLOOKUP(C8,'BD  Materiales y equipos'!$B$3:$F$190,2,FALSE())</f>
        <v>Junta</v>
      </c>
      <c r="E8" s="191">
        <f>VLOOKUP(C8,'BD  Materiales y equipos'!$B$3:$F$190,3,FALSE())</f>
        <v>0</v>
      </c>
      <c r="F8" s="191">
        <f>VLOOKUP(C8,'BD  Materiales y equipos'!$B$3:$F$190,4,FALSE())</f>
        <v>0</v>
      </c>
      <c r="G8" s="133">
        <v>2</v>
      </c>
      <c r="H8" s="194">
        <f>VLOOKUP(C8,'BD  Materiales y equipos'!$B$3:$K$190,8,FALSE())*G8</f>
        <v>13.191833476244867</v>
      </c>
      <c r="I8" s="194">
        <f t="shared" si="2"/>
        <v>4.9268409985070267</v>
      </c>
      <c r="J8" s="194">
        <f t="shared" si="3"/>
        <v>0</v>
      </c>
      <c r="K8" s="191" t="str">
        <f>VLOOKUP(C8,'BD  Materiales y equipos'!$B$3:$L$190,11,FALSE())</f>
        <v>IMPORTADO</v>
      </c>
      <c r="L8" s="436">
        <f t="shared" si="0"/>
        <v>1</v>
      </c>
      <c r="M8" s="421">
        <f t="shared" si="1"/>
        <v>1</v>
      </c>
      <c r="N8" s="194">
        <f>VLOOKUP(C8,'BD  Materiales y equipos'!$B$3:$K$190,9,FALSE())*0.811905633063426</f>
        <v>0.37347659120917598</v>
      </c>
      <c r="O8" s="194">
        <f>VLOOKUP(C8,'BD  Materiales y equipos'!$B$3:$K$190,10,FALSE())*1.14265904837007</f>
        <v>0</v>
      </c>
    </row>
    <row r="9" spans="1:15" ht="13.5" thickBot="1">
      <c r="A9" s="584" t="str">
        <f>IF(VLOOKUP(C9,'BD  Materiales y equipos'!$B$3:$F$190,1,FALSE())=C9,"CORRECTO","NO LISTADO")</f>
        <v>CORRECTO</v>
      </c>
      <c r="B9" s="147" t="s">
        <v>411</v>
      </c>
      <c r="C9" s="147" t="s">
        <v>838</v>
      </c>
      <c r="D9" s="191" t="str">
        <f>VLOOKUP(C9,'BD  Materiales y equipos'!$B$3:$F$190,2,FALSE())</f>
        <v>Junta</v>
      </c>
      <c r="E9" s="191">
        <f>VLOOKUP(C9,'BD  Materiales y equipos'!$B$3:$F$190,3,FALSE())</f>
        <v>0</v>
      </c>
      <c r="F9" s="191" t="str">
        <f>VLOOKUP(C9,'BD  Materiales y equipos'!$B$3:$F$190,4,FALSE())</f>
        <v>300#</v>
      </c>
      <c r="G9" s="133">
        <v>6</v>
      </c>
      <c r="H9" s="194">
        <f>VLOOKUP(C9,'BD  Materiales y equipos'!$B$3:$K$190,8,FALSE())*G9</f>
        <v>9.2881276516417941</v>
      </c>
      <c r="I9" s="194">
        <f t="shared" si="2"/>
        <v>5.1087082069914125</v>
      </c>
      <c r="J9" s="194">
        <f t="shared" si="3"/>
        <v>0</v>
      </c>
      <c r="K9" s="191" t="str">
        <f>VLOOKUP(C9,'BD  Materiales y equipos'!$B$3:$L$190,11,FALSE())</f>
        <v>IMPORTADO</v>
      </c>
      <c r="L9" s="436">
        <f t="shared" si="0"/>
        <v>1</v>
      </c>
      <c r="M9" s="421">
        <f t="shared" si="1"/>
        <v>1</v>
      </c>
      <c r="N9" s="194">
        <f>VLOOKUP(C9,'BD  Materiales y equipos'!$B$3:$K$190,9,FALSE())*0.811905633063426</f>
        <v>0.5500256239575243</v>
      </c>
      <c r="O9" s="194">
        <f>VLOOKUP(C9,'BD  Materiales y equipos'!$B$3:$K$190,10,FALSE())*1.14265904837007</f>
        <v>0</v>
      </c>
    </row>
    <row r="10" spans="1:15" ht="13.5" thickBot="1">
      <c r="A10" s="584" t="str">
        <f>IF(VLOOKUP(C10,'BD  Materiales y equipos'!$B$3:$F$190,1,FALSE())=C10,"CORRECTO","NO LISTADO")</f>
        <v>CORRECTO</v>
      </c>
      <c r="B10" s="147" t="s">
        <v>411</v>
      </c>
      <c r="C10" s="147" t="s">
        <v>762</v>
      </c>
      <c r="D10" s="191" t="str">
        <f>VLOOKUP(C10,'BD  Materiales y equipos'!$B$3:$F$190,2,FALSE())</f>
        <v>Unidad</v>
      </c>
      <c r="E10" s="191">
        <f>VLOOKUP(C10,'BD  Materiales y equipos'!$B$3:$F$190,3,FALSE())</f>
        <v>0</v>
      </c>
      <c r="F10" s="191" t="str">
        <f>VLOOKUP(C10,'BD  Materiales y equipos'!$B$3:$F$190,4,FALSE())</f>
        <v>300#</v>
      </c>
      <c r="G10" s="133">
        <v>2</v>
      </c>
      <c r="H10" s="194">
        <f>VLOOKUP(C10,'BD  Materiales y equipos'!$B$3:$K$190,8,FALSE())*G10</f>
        <v>1.187061816546588</v>
      </c>
      <c r="I10" s="194">
        <f t="shared" si="2"/>
        <v>9.1559306686624424</v>
      </c>
      <c r="J10" s="194">
        <f t="shared" si="3"/>
        <v>0</v>
      </c>
      <c r="K10" s="191" t="str">
        <f>VLOOKUP(C10,'BD  Materiales y equipos'!$B$3:$L$190,11,FALSE())</f>
        <v>IMPORTADO</v>
      </c>
      <c r="L10" s="436">
        <f t="shared" si="0"/>
        <v>1</v>
      </c>
      <c r="M10" s="421">
        <f t="shared" si="1"/>
        <v>1</v>
      </c>
      <c r="N10" s="194">
        <f>VLOOKUP(C10,'BD  Materiales y equipos'!$B$3:$K$190,9,FALSE())*0.811905633063426</f>
        <v>7.7131035141025475</v>
      </c>
      <c r="O10" s="194">
        <f>VLOOKUP(C10,'BD  Materiales y equipos'!$B$3:$K$190,10,FALSE())*1.14265904837007</f>
        <v>0</v>
      </c>
    </row>
    <row r="11" spans="1:15" ht="13.5" thickBot="1">
      <c r="A11" s="584" t="str">
        <f>IF(VLOOKUP(C11,'BD  Materiales y equipos'!$B$3:$F$190,1,FALSE())=C11,"CORRECTO","NO LISTADO")</f>
        <v>CORRECTO</v>
      </c>
      <c r="B11" s="147" t="s">
        <v>411</v>
      </c>
      <c r="C11" s="147" t="s">
        <v>781</v>
      </c>
      <c r="D11" s="191" t="str">
        <f>VLOOKUP(C11,'BD  Materiales y equipos'!$B$3:$F$190,2,FALSE())</f>
        <v>Unidad</v>
      </c>
      <c r="E11" s="191">
        <f>VLOOKUP(C11,'BD  Materiales y equipos'!$B$3:$F$190,3,FALSE())</f>
        <v>0</v>
      </c>
      <c r="F11" s="191" t="str">
        <f>VLOOKUP(C11,'BD  Materiales y equipos'!$B$3:$F$190,4,FALSE())</f>
        <v>300#</v>
      </c>
      <c r="G11" s="133">
        <v>6</v>
      </c>
      <c r="H11" s="194">
        <f>VLOOKUP(C11,'BD  Materiales y equipos'!$B$3:$K$190,8,FALSE())*G11</f>
        <v>1.7805927248198821</v>
      </c>
      <c r="I11" s="194">
        <f t="shared" si="2"/>
        <v>8.6740395808381017</v>
      </c>
      <c r="J11" s="194">
        <f t="shared" si="3"/>
        <v>0</v>
      </c>
      <c r="K11" s="191" t="str">
        <f>VLOOKUP(C11,'BD  Materiales y equipos'!$B$3:$L$190,11,FALSE())</f>
        <v>IMPORTADO</v>
      </c>
      <c r="L11" s="436">
        <f t="shared" si="0"/>
        <v>1</v>
      </c>
      <c r="M11" s="421">
        <f t="shared" si="1"/>
        <v>1</v>
      </c>
      <c r="N11" s="194">
        <f>VLOOKUP(C11,'BD  Materiales y equipos'!$B$3:$K$190,9,FALSE())*0.811905633063426</f>
        <v>4.871433798380556</v>
      </c>
      <c r="O11" s="194">
        <f>VLOOKUP(C11,'BD  Materiales y equipos'!$B$3:$K$190,10,FALSE())*1.14265904837007</f>
        <v>0</v>
      </c>
    </row>
    <row r="12" spans="1:15" ht="13.5" thickBot="1">
      <c r="A12" s="584" t="str">
        <f>IF(VLOOKUP(C12,'BD  Materiales y equipos'!$B$3:$F$190,1,FALSE())=C12,"CORRECTO","NO LISTADO")</f>
        <v>CORRECTO</v>
      </c>
      <c r="B12" s="147" t="s">
        <v>411</v>
      </c>
      <c r="C12" s="147" t="s">
        <v>907</v>
      </c>
      <c r="D12" s="191" t="str">
        <f>VLOOKUP(C12,'BD  Materiales y equipos'!$B$3:$F$190,2,FALSE())</f>
        <v>Global</v>
      </c>
      <c r="E12" s="191">
        <f>VLOOKUP(C12,'BD  Materiales y equipos'!$B$3:$F$190,3,FALSE())</f>
        <v>0</v>
      </c>
      <c r="F12" s="191">
        <f>VLOOKUP(C12,'BD  Materiales y equipos'!$B$3:$F$190,4,FALSE())</f>
        <v>0</v>
      </c>
      <c r="G12" s="133">
        <v>1</v>
      </c>
      <c r="H12" s="194">
        <f>VLOOKUP(C12,'BD  Materiales y equipos'!$B$3:$K$190,8,FALSE())*G12</f>
        <v>64.10133809351575</v>
      </c>
      <c r="I12" s="194">
        <f t="shared" si="2"/>
        <v>727.90303877822737</v>
      </c>
      <c r="J12" s="194">
        <f t="shared" si="3"/>
        <v>0</v>
      </c>
      <c r="K12" s="191" t="str">
        <f>VLOOKUP(C12,'BD  Materiales y equipos'!$B$3:$L$190,11,FALSE())</f>
        <v>NACIONAL</v>
      </c>
      <c r="L12" s="436">
        <f t="shared" si="0"/>
        <v>1</v>
      </c>
      <c r="M12" s="421">
        <f t="shared" si="1"/>
        <v>1</v>
      </c>
      <c r="N12" s="194">
        <f>VLOOKUP(C12,'BD  Materiales y equipos'!$B$3:$K$190,9,FALSE())*0.811905633063426</f>
        <v>11.355504587381761</v>
      </c>
      <c r="O12" s="194">
        <f>VLOOKUP(C12,'BD  Materiales y equipos'!$B$3:$K$190,10,FALSE())*1.14265904837007</f>
        <v>0</v>
      </c>
    </row>
    <row r="13" spans="1:15" ht="13.5" thickBot="1">
      <c r="A13" s="584" t="str">
        <f>IF(VLOOKUP(C13,'BD  Materiales y equipos'!$B$3:$F$190,1,FALSE())=C13,"CORRECTO","NO LISTADO")</f>
        <v>CORRECTO</v>
      </c>
      <c r="B13" s="147" t="s">
        <v>411</v>
      </c>
      <c r="C13" s="147" t="s">
        <v>908</v>
      </c>
      <c r="D13" s="191" t="str">
        <f>VLOOKUP(C13,'BD  Materiales y equipos'!$B$3:$F$190,2,FALSE())</f>
        <v>Unidad</v>
      </c>
      <c r="E13" s="191">
        <f>VLOOKUP(C13,'BD  Materiales y equipos'!$B$3:$F$190,3,FALSE())</f>
        <v>0</v>
      </c>
      <c r="F13" s="191" t="str">
        <f>VLOOKUP(C13,'BD  Materiales y equipos'!$B$3:$F$190,4,FALSE())</f>
        <v>300#</v>
      </c>
      <c r="G13" s="133">
        <v>1</v>
      </c>
      <c r="H13" s="194">
        <f>VLOOKUP(C13,'BD  Materiales y equipos'!$B$3:$K$190,8,FALSE())*G13</f>
        <v>137.30275658948739</v>
      </c>
      <c r="I13" s="194">
        <f t="shared" si="2"/>
        <v>1792.548254683071</v>
      </c>
      <c r="J13" s="194">
        <f t="shared" si="3"/>
        <v>1021.3554440621829</v>
      </c>
      <c r="K13" s="191" t="str">
        <f>VLOOKUP(C13,'BD  Materiales y equipos'!$B$3:$L$190,11,FALSE())</f>
        <v>IMPORTADO</v>
      </c>
      <c r="L13" s="436">
        <f t="shared" si="0"/>
        <v>1</v>
      </c>
      <c r="M13" s="421">
        <f t="shared" si="1"/>
        <v>1</v>
      </c>
      <c r="N13" s="194">
        <f>VLOOKUP(C13,'BD  Materiales y equipos'!$B$3:$K$190,9,FALSE())*0.811905633063426</f>
        <v>13.055442579659889</v>
      </c>
      <c r="O13" s="194">
        <f>VLOOKUP(C13,'BD  Materiales y equipos'!$B$3:$K$190,10,FALSE())*1.14265904837007</f>
        <v>7.4387104048891555</v>
      </c>
    </row>
    <row r="14" spans="1:15" ht="13.5" thickBot="1">
      <c r="A14" s="584" t="str">
        <f>IF(VLOOKUP(C14,'BD  Materiales y equipos'!$B$3:$F$190,1,FALSE())=C14,"CORRECTO","NO LISTADO")</f>
        <v>CORRECTO</v>
      </c>
      <c r="B14" s="147" t="s">
        <v>411</v>
      </c>
      <c r="C14" s="147" t="s">
        <v>783</v>
      </c>
      <c r="D14" s="191" t="str">
        <f>VLOOKUP(C14,'BD  Materiales y equipos'!$B$3:$F$190,2,FALSE())</f>
        <v>Unidad</v>
      </c>
      <c r="E14" s="191">
        <f>VLOOKUP(C14,'BD  Materiales y equipos'!$B$3:$F$190,3,FALSE())</f>
        <v>0</v>
      </c>
      <c r="F14" s="191" t="str">
        <f>VLOOKUP(C14,'BD  Materiales y equipos'!$B$3:$F$190,4,FALSE())</f>
        <v>300#</v>
      </c>
      <c r="G14" s="133">
        <v>4</v>
      </c>
      <c r="H14" s="194">
        <f>VLOOKUP(C14,'BD  Materiales y equipos'!$B$3:$K$190,8,FALSE())*G14</f>
        <v>295.57839232010042</v>
      </c>
      <c r="I14" s="194">
        <f t="shared" si="2"/>
        <v>2416.5553718488195</v>
      </c>
      <c r="J14" s="194">
        <f t="shared" si="3"/>
        <v>2189.4599707321863</v>
      </c>
      <c r="K14" s="191" t="str">
        <f>VLOOKUP(C14,'BD  Materiales y equipos'!$B$3:$L$190,11,FALSE())</f>
        <v>IMPORTADO</v>
      </c>
      <c r="L14" s="436">
        <f t="shared" si="0"/>
        <v>1</v>
      </c>
      <c r="M14" s="421">
        <f t="shared" si="1"/>
        <v>1</v>
      </c>
      <c r="N14" s="194">
        <f>VLOOKUP(C14,'BD  Materiales y equipos'!$B$3:$K$190,9,FALSE())*0.811905633063426</f>
        <v>8.1756834553446645</v>
      </c>
      <c r="O14" s="194">
        <f>VLOOKUP(C14,'BD  Materiales y equipos'!$B$3:$K$190,10,FALSE())*1.14265904837007</f>
        <v>7.4073749219160865</v>
      </c>
    </row>
    <row r="15" spans="1:15" ht="13.5" thickBot="1">
      <c r="A15" s="584" t="str">
        <f>IF(VLOOKUP(C15,'BD  Materiales y equipos'!$B$3:$F$190,1,FALSE())=C15,"CORRECTO","NO LISTADO")</f>
        <v>CORRECTO</v>
      </c>
      <c r="B15" s="147" t="s">
        <v>411</v>
      </c>
      <c r="C15" s="147" t="s">
        <v>909</v>
      </c>
      <c r="D15" s="191" t="str">
        <f>VLOOKUP(C15,'BD  Materiales y equipos'!$B$3:$F$190,2,FALSE())</f>
        <v>Unidad</v>
      </c>
      <c r="E15" s="191">
        <f>VLOOKUP(C15,'BD  Materiales y equipos'!$B$3:$F$190,3,FALSE())</f>
        <v>0</v>
      </c>
      <c r="F15" s="191" t="str">
        <f>VLOOKUP(C15,'BD  Materiales y equipos'!$B$3:$F$190,4,FALSE())</f>
        <v>300#</v>
      </c>
      <c r="G15" s="133">
        <v>2</v>
      </c>
      <c r="H15" s="194">
        <f>VLOOKUP(C15,'BD  Materiales y equipos'!$B$3:$K$190,8,FALSE())*G15</f>
        <v>104.46143985609974</v>
      </c>
      <c r="I15" s="194">
        <f t="shared" si="2"/>
        <v>774.34115120317392</v>
      </c>
      <c r="J15" s="194">
        <f t="shared" si="3"/>
        <v>590.85085681382429</v>
      </c>
      <c r="K15" s="191" t="str">
        <f>VLOOKUP(C15,'BD  Materiales y equipos'!$B$3:$L$190,11,FALSE())</f>
        <v>IMPORTADO</v>
      </c>
      <c r="L15" s="436">
        <f t="shared" si="0"/>
        <v>1</v>
      </c>
      <c r="M15" s="421">
        <f t="shared" si="1"/>
        <v>1</v>
      </c>
      <c r="N15" s="194">
        <f>VLOOKUP(C15,'BD  Materiales y equipos'!$B$3:$K$190,9,FALSE())*0.811905633063426</f>
        <v>7.4126984298690797</v>
      </c>
      <c r="O15" s="194">
        <f>VLOOKUP(C15,'BD  Materiales y equipos'!$B$3:$K$190,10,FALSE())*1.14265904837007</f>
        <v>5.6561622894318466</v>
      </c>
    </row>
    <row r="16" spans="1:15" ht="13.5" thickBot="1">
      <c r="A16" s="585" t="str">
        <f>IF(VLOOKUP(C16,'BD  Materiales y equipos'!$B$3:$F$190,1,FALSE())=C16,"CORRECTO","NO LISTADO")</f>
        <v>CORRECTO</v>
      </c>
      <c r="B16" s="586" t="s">
        <v>411</v>
      </c>
      <c r="C16" s="586" t="s">
        <v>910</v>
      </c>
      <c r="D16" s="587" t="str">
        <f>VLOOKUP(C16,'BD  Materiales y equipos'!$B$3:$F$190,2,FALSE())</f>
        <v>Unidad</v>
      </c>
      <c r="E16" s="587">
        <f>VLOOKUP(C16,'BD  Materiales y equipos'!$B$3:$F$190,3,FALSE())</f>
        <v>0</v>
      </c>
      <c r="F16" s="587">
        <f>VLOOKUP(C16,'BD  Materiales y equipos'!$B$3:$F$190,4,FALSE())</f>
        <v>0</v>
      </c>
      <c r="G16" s="599">
        <v>0</v>
      </c>
      <c r="H16" s="589">
        <f>VLOOKUP(C16,'BD  Materiales y equipos'!$B$3:$K$190,8,FALSE())*G16</f>
        <v>0</v>
      </c>
      <c r="I16" s="589">
        <f t="shared" si="2"/>
        <v>0</v>
      </c>
      <c r="J16" s="589">
        <f t="shared" si="3"/>
        <v>0</v>
      </c>
      <c r="K16" s="587" t="str">
        <f>VLOOKUP(C16,'BD  Materiales y equipos'!$B$3:$L$190,11,FALSE())</f>
        <v>IMPORTADO</v>
      </c>
      <c r="L16" s="436">
        <f t="shared" si="0"/>
        <v>1</v>
      </c>
      <c r="M16" s="421">
        <f t="shared" si="1"/>
        <v>1</v>
      </c>
      <c r="N16" s="589">
        <f>VLOOKUP(C16,'BD  Materiales y equipos'!$B$3:$K$190,9,FALSE())*0.811905633063426</f>
        <v>91.688503141852706</v>
      </c>
      <c r="O16" s="589">
        <f>VLOOKUP(C16,'BD  Materiales y equipos'!$B$3:$K$190,10,FALSE())*1.14265904837007</f>
        <v>65.462936881121308</v>
      </c>
    </row>
  </sheetData>
  <conditionalFormatting sqref="A2:A16">
    <cfRule type="cellIs" dxfId="23" priority="2" operator="equal">
      <formula>"CORRECTO"</formula>
    </cfRule>
    <cfRule type="cellIs" dxfId="22" priority="3" operator="notEqual">
      <formula>"CORRECTO"</formula>
    </cfRule>
  </conditionalFormatting>
  <pageMargins left="0.78749999999999998" right="0.78749999999999998" top="1.0249999999999999" bottom="1.0249999999999999" header="0.78749999999999998" footer="0.78749999999999998"/>
  <pageSetup firstPageNumber="0" orientation="portrait" horizontalDpi="300" verticalDpi="300"/>
  <headerFooter>
    <oddHeader>&amp;C&amp;A</oddHeader>
    <oddFooter>&amp;CPage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8">
    <tabColor theme="5" tint="0.79998168889431442"/>
  </sheetPr>
  <dimension ref="A1:R27"/>
  <sheetViews>
    <sheetView showGridLines="0" showRowColHeaders="0" topLeftCell="G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24" customWidth="1"/>
    <col min="2" max="2" width="24.42578125" style="188" customWidth="1"/>
    <col min="3" max="3" width="55.140625" customWidth="1"/>
    <col min="4" max="4" width="10.7109375" customWidth="1"/>
    <col min="5" max="5" width="14" customWidth="1"/>
    <col min="6" max="6" width="13.42578125" customWidth="1"/>
    <col min="7" max="7" width="14.42578125" customWidth="1"/>
    <col min="8" max="8" width="20.28515625" style="190" customWidth="1"/>
    <col min="9" max="9" width="17.42578125" style="190" customWidth="1"/>
    <col min="10" max="10" width="14.85546875" style="190" customWidth="1"/>
    <col min="11" max="11" width="20.42578125" customWidth="1"/>
    <col min="12" max="12" width="20.140625" customWidth="1"/>
    <col min="13" max="13" width="17" customWidth="1"/>
    <col min="14" max="14" width="11.42578125"/>
    <col min="15" max="15" width="16.85546875" customWidth="1"/>
    <col min="16" max="17" width="11.42578125"/>
    <col min="18" max="1025" width="9.140625" customWidth="1"/>
  </cols>
  <sheetData>
    <row r="1" spans="1:15" ht="57" thickBot="1">
      <c r="A1" s="596" t="s">
        <v>955</v>
      </c>
      <c r="B1" s="597" t="s">
        <v>956</v>
      </c>
      <c r="C1" s="597" t="s">
        <v>957</v>
      </c>
      <c r="D1" s="597" t="s">
        <v>699</v>
      </c>
      <c r="E1" s="597" t="s">
        <v>700</v>
      </c>
      <c r="F1" s="597" t="s">
        <v>701</v>
      </c>
      <c r="G1" s="597" t="s">
        <v>673</v>
      </c>
      <c r="H1" s="598" t="s">
        <v>958</v>
      </c>
      <c r="I1" s="598" t="s">
        <v>964</v>
      </c>
      <c r="J1" s="598" t="s">
        <v>960</v>
      </c>
      <c r="K1" s="604" t="s">
        <v>706</v>
      </c>
      <c r="L1" s="605" t="s">
        <v>1002</v>
      </c>
      <c r="M1" s="197" t="s">
        <v>962</v>
      </c>
      <c r="N1" s="598" t="s">
        <v>965</v>
      </c>
      <c r="O1" s="598" t="s">
        <v>966</v>
      </c>
    </row>
    <row r="2" spans="1:15" ht="13.5" thickBot="1">
      <c r="A2" s="590" t="str">
        <f>IF(VLOOKUP(C2,'BD  Materiales y equipos'!$B$3:$F$190,1,FALSE())=C2,"CORRECTO","NO LISTADO")</f>
        <v>CORRECTO</v>
      </c>
      <c r="B2" s="591" t="s">
        <v>411</v>
      </c>
      <c r="C2" s="591" t="s">
        <v>744</v>
      </c>
      <c r="D2" s="592" t="str">
        <f>VLOOKUP(C2,'BD  Materiales y equipos'!$B$3:$F$190,2,FALSE())</f>
        <v>Metro lineal</v>
      </c>
      <c r="E2" s="592" t="str">
        <f>VLOOKUP(C2,'BD  Materiales y equipos'!$B$3:$F$190,3,FALSE())</f>
        <v>STD</v>
      </c>
      <c r="F2" s="592">
        <f>VLOOKUP(C2,'BD  Materiales y equipos'!$B$3:$F$190,4,FALSE())</f>
        <v>0</v>
      </c>
      <c r="G2" s="601">
        <v>12</v>
      </c>
      <c r="H2" s="594">
        <f>VLOOKUP(C2,'BD  Materiales y equipos'!$B$3:$K$190,8,FALSE())*G2</f>
        <v>263.33850388168912</v>
      </c>
      <c r="I2" s="594">
        <f>N2*H2*L2</f>
        <v>618.74815676645051</v>
      </c>
      <c r="J2" s="594">
        <f>O2*$H2*M2</f>
        <v>908.34134727842979</v>
      </c>
      <c r="K2" s="592" t="str">
        <f>VLOOKUP(C2,'BD  Materiales y equipos'!$B$3:$L$190,11,FALSE())</f>
        <v>IMPORTADO</v>
      </c>
      <c r="L2" s="603">
        <f t="shared" ref="L2:L26" si="0">+acero/acero_base</f>
        <v>1</v>
      </c>
      <c r="M2" s="595">
        <f t="shared" ref="M2:M27" si="1">(0.65*ipc/ipc_base*trm_base/trm+0.35*fac_mano_obra)</f>
        <v>1</v>
      </c>
      <c r="N2" s="594">
        <f>VLOOKUP(C2,'BD  Materiales y equipos'!$B$3:$K$190,9,FALSE())*0.811905633063426</f>
        <v>2.3496304097042997</v>
      </c>
      <c r="O2" s="594">
        <f>VLOOKUP(C2,'BD  Materiales y equipos'!$B$3:$K$190,10,FALSE())*1.14265904837007</f>
        <v>3.4493297937415299</v>
      </c>
    </row>
    <row r="3" spans="1:15" ht="13.5" thickBot="1">
      <c r="A3" s="584" t="str">
        <f>IF(VLOOKUP(C3,'BD  Materiales y equipos'!$B$3:$F$190,1,FALSE())=C3,"CORRECTO","NO LISTADO")</f>
        <v>CORRECTO</v>
      </c>
      <c r="B3" s="147" t="s">
        <v>411</v>
      </c>
      <c r="C3" s="147" t="s">
        <v>745</v>
      </c>
      <c r="D3" s="191" t="str">
        <f>VLOOKUP(C3,'BD  Materiales y equipos'!$B$3:$F$190,2,FALSE())</f>
        <v>Metro lineal</v>
      </c>
      <c r="E3" s="191">
        <f>VLOOKUP(C3,'BD  Materiales y equipos'!$B$3:$F$190,3,FALSE())</f>
        <v>40</v>
      </c>
      <c r="F3" s="191">
        <f>VLOOKUP(C3,'BD  Materiales y equipos'!$B$3:$F$190,4,FALSE())</f>
        <v>0</v>
      </c>
      <c r="G3" s="133">
        <v>48</v>
      </c>
      <c r="H3" s="194">
        <f>VLOOKUP(C3,'BD  Materiales y equipos'!$B$3:$K$190,8,FALSE())*G3</f>
        <v>860.23557959500454</v>
      </c>
      <c r="I3" s="194">
        <f t="shared" ref="I3:I27" si="2">N3*H3*L3</f>
        <v>1538.1963523352938</v>
      </c>
      <c r="J3" s="194">
        <f t="shared" ref="J3:J27" si="3">O3*$H3*M3</f>
        <v>2967.2362143335627</v>
      </c>
      <c r="K3" s="191" t="str">
        <f>VLOOKUP(C3,'BD  Materiales y equipos'!$B$3:$L$190,11,FALSE())</f>
        <v>IMPORTADO</v>
      </c>
      <c r="L3" s="436">
        <f t="shared" si="0"/>
        <v>1</v>
      </c>
      <c r="M3" s="595">
        <f t="shared" si="1"/>
        <v>1</v>
      </c>
      <c r="N3" s="194">
        <f>VLOOKUP(C3,'BD  Materiales y equipos'!$B$3:$K$190,9,FALSE())*0.811905633063426</f>
        <v>1.7881105929836922</v>
      </c>
      <c r="O3" s="194">
        <f>VLOOKUP(C3,'BD  Materiales y equipos'!$B$3:$K$190,10,FALSE())*1.14265904837007</f>
        <v>3.4493297937415299</v>
      </c>
    </row>
    <row r="4" spans="1:15" ht="13.5" thickBot="1">
      <c r="A4" s="584" t="str">
        <f>IF(VLOOKUP(C4,'BD  Materiales y equipos'!$B$3:$F$190,1,FALSE())=C4,"CORRECTO","NO LISTADO")</f>
        <v>CORRECTO</v>
      </c>
      <c r="B4" s="147" t="s">
        <v>411</v>
      </c>
      <c r="C4" s="147" t="s">
        <v>712</v>
      </c>
      <c r="D4" s="191" t="str">
        <f>VLOOKUP(C4,'BD  Materiales y equipos'!$B$3:$F$190,2,FALSE())</f>
        <v>Metro lineal</v>
      </c>
      <c r="E4" s="191">
        <f>VLOOKUP(C4,'BD  Materiales y equipos'!$B$3:$F$190,3,FALSE())</f>
        <v>40</v>
      </c>
      <c r="F4" s="191">
        <f>VLOOKUP(C4,'BD  Materiales y equipos'!$B$3:$F$190,4,FALSE())</f>
        <v>0</v>
      </c>
      <c r="G4" s="133">
        <v>24</v>
      </c>
      <c r="H4" s="194">
        <f>VLOOKUP(C4,'BD  Materiales y equipos'!$B$3:$K$190,8,FALSE())*G4</f>
        <v>114.68394493861445</v>
      </c>
      <c r="I4" s="194">
        <f t="shared" si="2"/>
        <v>358.52696934130847</v>
      </c>
      <c r="J4" s="194">
        <f t="shared" si="3"/>
        <v>475.95520265672951</v>
      </c>
      <c r="K4" s="191" t="str">
        <f>VLOOKUP(C4,'BD  Materiales y equipos'!$B$3:$L$190,11,FALSE())</f>
        <v>IMPORTADO</v>
      </c>
      <c r="L4" s="436">
        <f t="shared" si="0"/>
        <v>1</v>
      </c>
      <c r="M4" s="595">
        <f t="shared" si="1"/>
        <v>1</v>
      </c>
      <c r="N4" s="194">
        <f>VLOOKUP(C4,'BD  Materiales y equipos'!$B$3:$K$190,9,FALSE())*0.811905633063426</f>
        <v>3.1262176195038727</v>
      </c>
      <c r="O4" s="194">
        <f>VLOOKUP(C4,'BD  Materiales y equipos'!$B$3:$K$190,10,FALSE())*1.14265904837007</f>
        <v>4.1501467612706255</v>
      </c>
    </row>
    <row r="5" spans="1:15" ht="13.5" thickBot="1">
      <c r="A5" s="584" t="str">
        <f>IF(VLOOKUP(C5,'BD  Materiales y equipos'!$B$3:$F$190,1,FALSE())=C5,"CORRECTO","NO LISTADO")</f>
        <v>CORRECTO</v>
      </c>
      <c r="B5" s="147" t="s">
        <v>411</v>
      </c>
      <c r="C5" s="147" t="s">
        <v>713</v>
      </c>
      <c r="D5" s="191" t="str">
        <f>VLOOKUP(C5,'BD  Materiales y equipos'!$B$3:$F$190,2,FALSE())</f>
        <v>Metro lineal</v>
      </c>
      <c r="E5" s="191">
        <f>VLOOKUP(C5,'BD  Materiales y equipos'!$B$3:$F$190,3,FALSE())</f>
        <v>40</v>
      </c>
      <c r="F5" s="191">
        <f>VLOOKUP(C5,'BD  Materiales y equipos'!$B$3:$F$190,4,FALSE())</f>
        <v>0</v>
      </c>
      <c r="G5" s="133">
        <v>48</v>
      </c>
      <c r="H5" s="194">
        <f>VLOOKUP(C5,'BD  Materiales y equipos'!$B$3:$K$190,8,FALSE())*G5</f>
        <v>77.628947572126833</v>
      </c>
      <c r="I5" s="194">
        <f t="shared" si="2"/>
        <v>185.04617772454648</v>
      </c>
      <c r="J5" s="194">
        <f t="shared" si="3"/>
        <v>322.17152534730934</v>
      </c>
      <c r="K5" s="191" t="str">
        <f>VLOOKUP(C5,'BD  Materiales y equipos'!$B$3:$L$190,11,FALSE())</f>
        <v>IMPORTADO</v>
      </c>
      <c r="L5" s="436">
        <f t="shared" si="0"/>
        <v>1</v>
      </c>
      <c r="M5" s="595">
        <f t="shared" si="1"/>
        <v>1</v>
      </c>
      <c r="N5" s="194">
        <f>VLOOKUP(C5,'BD  Materiales y equipos'!$B$3:$K$190,9,FALSE())*0.811905633063426</f>
        <v>2.383726477196098</v>
      </c>
      <c r="O5" s="194">
        <f>VLOOKUP(C5,'BD  Materiales y equipos'!$B$3:$K$190,10,FALSE())*1.14265904837007</f>
        <v>4.1501467612706255</v>
      </c>
    </row>
    <row r="6" spans="1:15" ht="13.5" thickBot="1">
      <c r="A6" s="584" t="str">
        <f>IF(VLOOKUP(C6,'BD  Materiales y equipos'!$B$3:$F$190,1,FALSE())=C6,"CORRECTO","NO LISTADO")</f>
        <v>CORRECTO</v>
      </c>
      <c r="B6" s="147" t="s">
        <v>411</v>
      </c>
      <c r="C6" s="147" t="s">
        <v>747</v>
      </c>
      <c r="D6" s="191" t="str">
        <f>VLOOKUP(C6,'BD  Materiales y equipos'!$B$3:$F$190,2,FALSE())</f>
        <v>Unidad</v>
      </c>
      <c r="E6" s="191" t="str">
        <f>VLOOKUP(C6,'BD  Materiales y equipos'!$B$3:$F$190,3,FALSE())</f>
        <v>STD</v>
      </c>
      <c r="F6" s="191">
        <f>VLOOKUP(C6,'BD  Materiales y equipos'!$B$3:$F$190,4,FALSE())</f>
        <v>0</v>
      </c>
      <c r="G6" s="133">
        <v>4</v>
      </c>
      <c r="H6" s="194">
        <f>VLOOKUP(C6,'BD  Materiales y equipos'!$B$3:$K$190,8,FALSE())*G6</f>
        <v>44.152258981717516</v>
      </c>
      <c r="I6" s="194">
        <f t="shared" si="2"/>
        <v>1811.9104902195161</v>
      </c>
      <c r="J6" s="194">
        <f t="shared" si="3"/>
        <v>1109.7215807302741</v>
      </c>
      <c r="K6" s="191" t="str">
        <f>VLOOKUP(C6,'BD  Materiales y equipos'!$B$3:$L$190,11,FALSE())</f>
        <v>IMPORTADO</v>
      </c>
      <c r="L6" s="436">
        <f t="shared" si="0"/>
        <v>1</v>
      </c>
      <c r="M6" s="595">
        <f t="shared" si="1"/>
        <v>1</v>
      </c>
      <c r="N6" s="194">
        <f>VLOOKUP(C6,'BD  Materiales y equipos'!$B$3:$K$190,9,FALSE())*0.811905633063426</f>
        <v>41.037775461721871</v>
      </c>
      <c r="O6" s="194">
        <f>VLOOKUP(C6,'BD  Materiales y equipos'!$B$3:$K$190,10,FALSE())*1.14265904837007</f>
        <v>25.133970635336816</v>
      </c>
    </row>
    <row r="7" spans="1:15" ht="13.5" thickBot="1">
      <c r="A7" s="584" t="str">
        <f>IF(VLOOKUP(C7,'BD  Materiales y equipos'!$B$3:$F$190,1,FALSE())=C7,"CORRECTO","NO LISTADO")</f>
        <v>CORRECTO</v>
      </c>
      <c r="B7" s="147" t="s">
        <v>411</v>
      </c>
      <c r="C7" s="147" t="s">
        <v>771</v>
      </c>
      <c r="D7" s="191" t="str">
        <f>VLOOKUP(C7,'BD  Materiales y equipos'!$B$3:$F$190,2,FALSE())</f>
        <v>Unidad</v>
      </c>
      <c r="E7" s="191" t="str">
        <f>VLOOKUP(C7,'BD  Materiales y equipos'!$B$3:$F$190,3,FALSE())</f>
        <v>STD</v>
      </c>
      <c r="F7" s="191">
        <f>VLOOKUP(C7,'BD  Materiales y equipos'!$B$3:$F$190,4,FALSE())</f>
        <v>0</v>
      </c>
      <c r="G7" s="133">
        <v>4</v>
      </c>
      <c r="H7" s="194">
        <f>VLOOKUP(C7,'BD  Materiales y equipos'!$B$3:$K$190,8,FALSE())*G7</f>
        <v>27.998993500601348</v>
      </c>
      <c r="I7" s="194">
        <f t="shared" si="2"/>
        <v>1479.4056396207211</v>
      </c>
      <c r="J7" s="194">
        <f t="shared" si="3"/>
        <v>759.94118630761523</v>
      </c>
      <c r="K7" s="191" t="str">
        <f>VLOOKUP(C7,'BD  Materiales y equipos'!$B$3:$L$190,11,FALSE())</f>
        <v>IMPORTADO</v>
      </c>
      <c r="L7" s="436">
        <f t="shared" si="0"/>
        <v>1</v>
      </c>
      <c r="M7" s="595">
        <f t="shared" si="1"/>
        <v>1</v>
      </c>
      <c r="N7" s="194">
        <f>VLOOKUP(C7,'BD  Materiales y equipos'!$B$3:$K$190,9,FALSE())*0.811905633063426</f>
        <v>52.837815030349113</v>
      </c>
      <c r="O7" s="194">
        <f>VLOOKUP(C7,'BD  Materiales y equipos'!$B$3:$K$190,10,FALSE())*1.14265904837007</f>
        <v>27.141732301601969</v>
      </c>
    </row>
    <row r="8" spans="1:15" ht="13.5" thickBot="1">
      <c r="A8" s="584" t="str">
        <f>IF(VLOOKUP(C8,'BD  Materiales y equipos'!$B$3:$F$190,1,FALSE())=C8,"CORRECTO","NO LISTADO")</f>
        <v>CORRECTO</v>
      </c>
      <c r="B8" s="147" t="s">
        <v>411</v>
      </c>
      <c r="C8" s="147" t="s">
        <v>719</v>
      </c>
      <c r="D8" s="191" t="str">
        <f>VLOOKUP(C8,'BD  Materiales y equipos'!$B$3:$F$190,2,FALSE())</f>
        <v>Unidad</v>
      </c>
      <c r="E8" s="191" t="str">
        <f>VLOOKUP(C8,'BD  Materiales y equipos'!$B$3:$F$190,3,FALSE())</f>
        <v>STD</v>
      </c>
      <c r="F8" s="191">
        <f>VLOOKUP(C8,'BD  Materiales y equipos'!$B$3:$F$190,4,FALSE())</f>
        <v>0</v>
      </c>
      <c r="G8" s="133">
        <v>12</v>
      </c>
      <c r="H8" s="194">
        <f>VLOOKUP(C8,'BD  Materiales y equipos'!$B$3:$K$190,8,FALSE())*G8</f>
        <v>9.6919592886696968</v>
      </c>
      <c r="I8" s="194">
        <f t="shared" si="2"/>
        <v>1182.5607295209261</v>
      </c>
      <c r="J8" s="194">
        <f t="shared" si="3"/>
        <v>193.46168970876326</v>
      </c>
      <c r="K8" s="191" t="str">
        <f>VLOOKUP(C8,'BD  Materiales y equipos'!$B$3:$L$190,11,FALSE())</f>
        <v>IMPORTADO</v>
      </c>
      <c r="L8" s="436">
        <f t="shared" si="0"/>
        <v>1</v>
      </c>
      <c r="M8" s="595">
        <f t="shared" si="1"/>
        <v>1</v>
      </c>
      <c r="N8" s="194">
        <f>VLOOKUP(C8,'BD  Materiales y equipos'!$B$3:$K$190,9,FALSE())*0.811905633063426</f>
        <v>122.01461998539229</v>
      </c>
      <c r="O8" s="194">
        <f>VLOOKUP(C8,'BD  Materiales y equipos'!$B$3:$K$190,10,FALSE())*1.14265904837007</f>
        <v>19.961050593240525</v>
      </c>
    </row>
    <row r="9" spans="1:15" ht="13.5" thickBot="1">
      <c r="A9" s="584" t="str">
        <f>IF(VLOOKUP(C9,'BD  Materiales y equipos'!$B$3:$F$190,1,FALSE())=C9,"CORRECTO","NO LISTADO")</f>
        <v>CORRECTO</v>
      </c>
      <c r="B9" s="147" t="s">
        <v>411</v>
      </c>
      <c r="C9" s="147" t="s">
        <v>720</v>
      </c>
      <c r="D9" s="191" t="str">
        <f>VLOOKUP(C9,'BD  Materiales y equipos'!$B$3:$F$190,2,FALSE())</f>
        <v>Unidad</v>
      </c>
      <c r="E9" s="191" t="str">
        <f>VLOOKUP(C9,'BD  Materiales y equipos'!$B$3:$F$190,3,FALSE())</f>
        <v>STD</v>
      </c>
      <c r="F9" s="191">
        <f>VLOOKUP(C9,'BD  Materiales y equipos'!$B$3:$F$190,4,FALSE())</f>
        <v>0</v>
      </c>
      <c r="G9" s="133">
        <v>18</v>
      </c>
      <c r="H9" s="194">
        <f>VLOOKUP(C9,'BD  Materiales y equipos'!$B$3:$K$190,8,FALSE())*G9</f>
        <v>2.4229898221674246</v>
      </c>
      <c r="I9" s="194">
        <f t="shared" si="2"/>
        <v>598.508731077829</v>
      </c>
      <c r="J9" s="194">
        <f t="shared" si="3"/>
        <v>120.76251643263885</v>
      </c>
      <c r="K9" s="191" t="str">
        <f>VLOOKUP(C9,'BD  Materiales y equipos'!$B$3:$L$190,11,FALSE())</f>
        <v>IMPORTADO</v>
      </c>
      <c r="L9" s="436">
        <f t="shared" si="0"/>
        <v>1</v>
      </c>
      <c r="M9" s="595">
        <f t="shared" si="1"/>
        <v>1</v>
      </c>
      <c r="N9" s="194">
        <f>VLOOKUP(C9,'BD  Materiales y equipos'!$B$3:$K$190,9,FALSE())*0.811905633063426</f>
        <v>247.01248251321505</v>
      </c>
      <c r="O9" s="194">
        <f>VLOOKUP(C9,'BD  Materiales y equipos'!$B$3:$K$190,10,FALSE())*1.14265904837007</f>
        <v>49.840290424585348</v>
      </c>
    </row>
    <row r="10" spans="1:15" ht="13.5" thickBot="1">
      <c r="A10" s="584" t="str">
        <f>IF(VLOOKUP(C10,'BD  Materiales y equipos'!$B$3:$F$190,1,FALSE())=C10,"CORRECTO","NO LISTADO")</f>
        <v>CORRECTO</v>
      </c>
      <c r="B10" s="147" t="s">
        <v>411</v>
      </c>
      <c r="C10" s="147" t="s">
        <v>772</v>
      </c>
      <c r="D10" s="191" t="str">
        <f>VLOOKUP(C10,'BD  Materiales y equipos'!$B$3:$F$190,2,FALSE())</f>
        <v>Unidad</v>
      </c>
      <c r="E10" s="191">
        <f>VLOOKUP(C10,'BD  Materiales y equipos'!$B$3:$F$190,3,FALSE())</f>
        <v>0</v>
      </c>
      <c r="F10" s="191" t="str">
        <f>VLOOKUP(C10,'BD  Materiales y equipos'!$B$3:$F$190,4,FALSE())</f>
        <v>300#</v>
      </c>
      <c r="G10" s="133">
        <v>18</v>
      </c>
      <c r="H10" s="194">
        <f>VLOOKUP(C10,'BD  Materiales y equipos'!$B$3:$K$190,8,FALSE())*G10</f>
        <v>227.76104328373788</v>
      </c>
      <c r="I10" s="194">
        <f t="shared" si="2"/>
        <v>4202.5721769160691</v>
      </c>
      <c r="J10" s="194">
        <f t="shared" si="3"/>
        <v>1846.8774076998243</v>
      </c>
      <c r="K10" s="191" t="str">
        <f>VLOOKUP(C10,'BD  Materiales y equipos'!$B$3:$L$190,11,FALSE())</f>
        <v>IMPORTADO</v>
      </c>
      <c r="L10" s="436">
        <f t="shared" si="0"/>
        <v>1</v>
      </c>
      <c r="M10" s="595">
        <f t="shared" si="1"/>
        <v>1</v>
      </c>
      <c r="N10" s="194">
        <f>VLOOKUP(C10,'BD  Materiales y equipos'!$B$3:$K$190,9,FALSE())*0.811905633063426</f>
        <v>18.451672491158334</v>
      </c>
      <c r="O10" s="194">
        <f>VLOOKUP(C10,'BD  Materiales y equipos'!$B$3:$K$190,10,FALSE())*1.14265904837007</f>
        <v>8.1088380219572489</v>
      </c>
    </row>
    <row r="11" spans="1:15" ht="13.5" thickBot="1">
      <c r="A11" s="584" t="str">
        <f>IF(VLOOKUP(C11,'BD  Materiales y equipos'!$B$3:$F$190,1,FALSE())=C11,"CORRECTO","NO LISTADO")</f>
        <v>CORRECTO</v>
      </c>
      <c r="B11" s="147" t="s">
        <v>411</v>
      </c>
      <c r="C11" s="147" t="s">
        <v>773</v>
      </c>
      <c r="D11" s="191" t="str">
        <f>VLOOKUP(C11,'BD  Materiales y equipos'!$B$3:$F$190,2,FALSE())</f>
        <v>Unidad</v>
      </c>
      <c r="E11" s="191">
        <f>VLOOKUP(C11,'BD  Materiales y equipos'!$B$3:$F$190,3,FALSE())</f>
        <v>0</v>
      </c>
      <c r="F11" s="191" t="str">
        <f>VLOOKUP(C11,'BD  Materiales y equipos'!$B$3:$F$190,4,FALSE())</f>
        <v>300#</v>
      </c>
      <c r="G11" s="133">
        <v>2</v>
      </c>
      <c r="H11" s="194">
        <f>VLOOKUP(C11,'BD  Materiales y equipos'!$B$3:$K$190,8,FALSE())*G11</f>
        <v>11.038064745429379</v>
      </c>
      <c r="I11" s="194">
        <f t="shared" si="2"/>
        <v>239.01797956087205</v>
      </c>
      <c r="J11" s="194">
        <f t="shared" si="3"/>
        <v>91.243908808186916</v>
      </c>
      <c r="K11" s="191" t="str">
        <f>VLOOKUP(C11,'BD  Materiales y equipos'!$B$3:$L$190,11,FALSE())</f>
        <v>IMPORTADO</v>
      </c>
      <c r="L11" s="436">
        <f t="shared" si="0"/>
        <v>1</v>
      </c>
      <c r="M11" s="595">
        <f t="shared" si="1"/>
        <v>1</v>
      </c>
      <c r="N11" s="194">
        <f>VLOOKUP(C11,'BD  Materiales y equipos'!$B$3:$K$190,9,FALSE())*0.811905633063426</f>
        <v>21.65397513724896</v>
      </c>
      <c r="O11" s="194">
        <f>VLOOKUP(C11,'BD  Materiales y equipos'!$B$3:$K$190,10,FALSE())*1.14265904837007</f>
        <v>8.2662958509977056</v>
      </c>
    </row>
    <row r="12" spans="1:15" ht="13.5" thickBot="1">
      <c r="A12" s="584" t="str">
        <f>IF(VLOOKUP(C12,'BD  Materiales y equipos'!$B$3:$F$190,1,FALSE())=C12,"CORRECTO","NO LISTADO")</f>
        <v>CORRECTO</v>
      </c>
      <c r="B12" s="147" t="s">
        <v>411</v>
      </c>
      <c r="C12" s="147" t="s">
        <v>774</v>
      </c>
      <c r="D12" s="191" t="str">
        <f>VLOOKUP(C12,'BD  Materiales y equipos'!$B$3:$F$190,2,FALSE())</f>
        <v>Unidad</v>
      </c>
      <c r="E12" s="191">
        <f>VLOOKUP(C12,'BD  Materiales y equipos'!$B$3:$F$190,3,FALSE())</f>
        <v>0</v>
      </c>
      <c r="F12" s="191" t="str">
        <f>VLOOKUP(C12,'BD  Materiales y equipos'!$B$3:$F$190,4,FALSE())</f>
        <v>300#</v>
      </c>
      <c r="G12" s="133">
        <v>12</v>
      </c>
      <c r="H12" s="194">
        <f>VLOOKUP(C12,'BD  Materiales y equipos'!$B$3:$K$190,8,FALSE())*G12</f>
        <v>33.921857510343941</v>
      </c>
      <c r="I12" s="194">
        <f t="shared" si="2"/>
        <v>745.96740395207701</v>
      </c>
      <c r="J12" s="194">
        <f t="shared" si="3"/>
        <v>325.3147177436046</v>
      </c>
      <c r="K12" s="191" t="str">
        <f>VLOOKUP(C12,'BD  Materiales y equipos'!$B$3:$L$190,11,FALSE())</f>
        <v>IMPORTADO</v>
      </c>
      <c r="L12" s="436">
        <f t="shared" si="0"/>
        <v>1</v>
      </c>
      <c r="M12" s="595">
        <f t="shared" si="1"/>
        <v>1</v>
      </c>
      <c r="N12" s="194">
        <f>VLOOKUP(C12,'BD  Materiales y equipos'!$B$3:$K$190,9,FALSE())*0.811905633063426</f>
        <v>21.990759312770709</v>
      </c>
      <c r="O12" s="194">
        <f>VLOOKUP(C12,'BD  Materiales y equipos'!$B$3:$K$190,10,FALSE())*1.14265904837007</f>
        <v>9.5901209904087636</v>
      </c>
    </row>
    <row r="13" spans="1:15" ht="13.5" thickBot="1">
      <c r="A13" s="584" t="str">
        <f>IF(VLOOKUP(C13,'BD  Materiales y equipos'!$B$3:$F$190,1,FALSE())=C13,"CORRECTO","NO LISTADO")</f>
        <v>CORRECTO</v>
      </c>
      <c r="B13" s="147" t="s">
        <v>411</v>
      </c>
      <c r="C13" s="147" t="s">
        <v>775</v>
      </c>
      <c r="D13" s="191" t="str">
        <f>VLOOKUP(C13,'BD  Materiales y equipos'!$B$3:$F$190,2,FALSE())</f>
        <v>Unidad</v>
      </c>
      <c r="E13" s="191">
        <f>VLOOKUP(C13,'BD  Materiales y equipos'!$B$3:$F$190,3,FALSE())</f>
        <v>0</v>
      </c>
      <c r="F13" s="191" t="str">
        <f>VLOOKUP(C13,'BD  Materiales y equipos'!$B$3:$F$190,4,FALSE())</f>
        <v>300#</v>
      </c>
      <c r="G13" s="133">
        <v>16</v>
      </c>
      <c r="H13" s="194">
        <f>VLOOKUP(C13,'BD  Materiales y equipos'!$B$3:$K$190,8,FALSE())*G13</f>
        <v>18.307034211931651</v>
      </c>
      <c r="I13" s="194">
        <f t="shared" si="2"/>
        <v>462.61544431136559</v>
      </c>
      <c r="J13" s="194">
        <f t="shared" si="3"/>
        <v>208.50997534787138</v>
      </c>
      <c r="K13" s="191" t="str">
        <f>VLOOKUP(C13,'BD  Materiales y equipos'!$B$3:$L$190,11,FALSE())</f>
        <v>IMPORTADO</v>
      </c>
      <c r="L13" s="436">
        <f t="shared" si="0"/>
        <v>1</v>
      </c>
      <c r="M13" s="595">
        <f t="shared" si="1"/>
        <v>1</v>
      </c>
      <c r="N13" s="194">
        <f>VLOOKUP(C13,'BD  Materiales y equipos'!$B$3:$K$190,9,FALSE())*0.811905633063426</f>
        <v>25.269819182937614</v>
      </c>
      <c r="O13" s="194">
        <f>VLOOKUP(C13,'BD  Materiales y equipos'!$B$3:$K$190,10,FALSE())*1.14265904837007</f>
        <v>11.38960974967614</v>
      </c>
    </row>
    <row r="14" spans="1:15" ht="13.5" thickBot="1">
      <c r="A14" s="584" t="str">
        <f>IF(VLOOKUP(C14,'BD  Materiales y equipos'!$B$3:$F$190,1,FALSE())=C14,"CORRECTO","NO LISTADO")</f>
        <v>CORRECTO</v>
      </c>
      <c r="B14" s="147" t="s">
        <v>411</v>
      </c>
      <c r="C14" s="147" t="s">
        <v>776</v>
      </c>
      <c r="D14" s="191" t="str">
        <f>VLOOKUP(C14,'BD  Materiales y equipos'!$B$3:$F$190,2,FALSE())</f>
        <v>Unidad</v>
      </c>
      <c r="E14" s="191" t="str">
        <f>VLOOKUP(C14,'BD  Materiales y equipos'!$B$3:$F$190,3,FALSE())</f>
        <v>STD</v>
      </c>
      <c r="F14" s="191">
        <f>VLOOKUP(C14,'BD  Materiales y equipos'!$B$3:$F$190,4,FALSE())</f>
        <v>0</v>
      </c>
      <c r="G14" s="133">
        <v>2</v>
      </c>
      <c r="H14" s="194">
        <f>VLOOKUP(C14,'BD  Materiales y equipos'!$B$3:$K$190,8,FALSE())*G14</f>
        <v>23.691456038970369</v>
      </c>
      <c r="I14" s="194">
        <f t="shared" si="2"/>
        <v>775.84465139718577</v>
      </c>
      <c r="J14" s="194">
        <f t="shared" si="3"/>
        <v>296.30923201090388</v>
      </c>
      <c r="K14" s="191" t="str">
        <f>VLOOKUP(C14,'BD  Materiales y equipos'!$B$3:$L$190,11,FALSE())</f>
        <v>IMPORTADO</v>
      </c>
      <c r="L14" s="436">
        <f t="shared" si="0"/>
        <v>1</v>
      </c>
      <c r="M14" s="595">
        <f t="shared" si="1"/>
        <v>1</v>
      </c>
      <c r="N14" s="194">
        <f>VLOOKUP(C14,'BD  Materiales y equipos'!$B$3:$K$190,9,FALSE())*0.811905633063426</f>
        <v>32.747866999858061</v>
      </c>
      <c r="O14" s="194">
        <f>VLOOKUP(C14,'BD  Materiales y equipos'!$B$3:$K$190,10,FALSE())*1.14265904837007</f>
        <v>12.50700807597056</v>
      </c>
    </row>
    <row r="15" spans="1:15" ht="13.5" thickBot="1">
      <c r="A15" s="584" t="str">
        <f>IF(VLOOKUP(C15,'BD  Materiales y equipos'!$B$3:$F$190,1,FALSE())=C15,"CORRECTO","NO LISTADO")</f>
        <v>CORRECTO</v>
      </c>
      <c r="B15" s="147" t="s">
        <v>411</v>
      </c>
      <c r="C15" s="147" t="s">
        <v>777</v>
      </c>
      <c r="D15" s="191" t="str">
        <f>VLOOKUP(C15,'BD  Materiales y equipos'!$B$3:$F$190,2,FALSE())</f>
        <v>Unidad</v>
      </c>
      <c r="E15" s="191" t="str">
        <f>VLOOKUP(C15,'BD  Materiales y equipos'!$B$3:$F$190,3,FALSE())</f>
        <v>STD</v>
      </c>
      <c r="F15" s="191">
        <f>VLOOKUP(C15,'BD  Materiales y equipos'!$B$3:$F$190,4,FALSE())</f>
        <v>0</v>
      </c>
      <c r="G15" s="133">
        <v>1</v>
      </c>
      <c r="H15" s="194">
        <f>VLOOKUP(C15,'BD  Materiales y equipos'!$B$3:$K$190,8,FALSE())*G15</f>
        <v>11.576506928133249</v>
      </c>
      <c r="I15" s="194">
        <f t="shared" si="2"/>
        <v>252.02903893212951</v>
      </c>
      <c r="J15" s="194">
        <f t="shared" si="3"/>
        <v>144.78746564169168</v>
      </c>
      <c r="K15" s="191" t="str">
        <f>VLOOKUP(C15,'BD  Materiales y equipos'!$B$3:$L$190,11,FALSE())</f>
        <v>IMPORTADO</v>
      </c>
      <c r="L15" s="436">
        <f t="shared" si="0"/>
        <v>1</v>
      </c>
      <c r="M15" s="595">
        <f t="shared" si="1"/>
        <v>1</v>
      </c>
      <c r="N15" s="194">
        <f>VLOOKUP(C15,'BD  Materiales y equipos'!$B$3:$K$190,9,FALSE())*0.811905633063426</f>
        <v>21.770732786385508</v>
      </c>
      <c r="O15" s="194">
        <f>VLOOKUP(C15,'BD  Materiales y equipos'!$B$3:$K$190,10,FALSE())*1.14265904837007</f>
        <v>12.50700807597056</v>
      </c>
    </row>
    <row r="16" spans="1:15" ht="13.5" thickBot="1">
      <c r="A16" s="584" t="str">
        <f>IF(VLOOKUP(C16,'BD  Materiales y equipos'!$B$3:$F$190,1,FALSE())=C16,"CORRECTO","NO LISTADO")</f>
        <v>CORRECTO</v>
      </c>
      <c r="B16" s="147" t="s">
        <v>411</v>
      </c>
      <c r="C16" s="147" t="s">
        <v>778</v>
      </c>
      <c r="D16" s="191" t="str">
        <f>VLOOKUP(C16,'BD  Materiales y equipos'!$B$3:$F$190,2,FALSE())</f>
        <v>Unidad</v>
      </c>
      <c r="E16" s="191" t="str">
        <f>VLOOKUP(C16,'BD  Materiales y equipos'!$B$3:$F$190,3,FALSE())</f>
        <v>STD</v>
      </c>
      <c r="F16" s="191">
        <f>VLOOKUP(C16,'BD  Materiales y equipos'!$B$3:$F$190,4,FALSE())</f>
        <v>0</v>
      </c>
      <c r="G16" s="133">
        <v>2</v>
      </c>
      <c r="H16" s="194">
        <f>VLOOKUP(C16,'BD  Materiales y equipos'!$B$3:$K$190,8,FALSE())*G16</f>
        <v>9.1535171059658254</v>
      </c>
      <c r="I16" s="194">
        <f t="shared" si="2"/>
        <v>539.71801836325938</v>
      </c>
      <c r="J16" s="194">
        <f t="shared" si="3"/>
        <v>153.27807371850184</v>
      </c>
      <c r="K16" s="191" t="str">
        <f>VLOOKUP(C16,'BD  Materiales y equipos'!$B$3:$L$190,11,FALSE())</f>
        <v>IMPORTADO</v>
      </c>
      <c r="L16" s="436">
        <f t="shared" si="0"/>
        <v>1</v>
      </c>
      <c r="M16" s="595">
        <f t="shared" si="1"/>
        <v>1</v>
      </c>
      <c r="N16" s="194">
        <f>VLOOKUP(C16,'BD  Materiales y equipos'!$B$3:$K$190,9,FALSE())*0.811905633063426</f>
        <v>58.962911426854383</v>
      </c>
      <c r="O16" s="194">
        <f>VLOOKUP(C16,'BD  Materiales y equipos'!$B$3:$K$190,10,FALSE())*1.14265904837007</f>
        <v>16.745265447595276</v>
      </c>
    </row>
    <row r="17" spans="1:18" ht="13.5" thickBot="1">
      <c r="A17" s="584" t="str">
        <f>IF(VLOOKUP(C17,'BD  Materiales y equipos'!$B$3:$F$190,1,FALSE())=C17,"CORRECTO","NO LISTADO")</f>
        <v>CORRECTO</v>
      </c>
      <c r="B17" s="147" t="s">
        <v>411</v>
      </c>
      <c r="C17" s="147" t="s">
        <v>779</v>
      </c>
      <c r="D17" s="191" t="str">
        <f>VLOOKUP(C17,'BD  Materiales y equipos'!$B$3:$F$190,2,FALSE())</f>
        <v>Junta</v>
      </c>
      <c r="E17" s="191">
        <f>VLOOKUP(C17,'BD  Materiales y equipos'!$B$3:$F$190,3,FALSE())</f>
        <v>0</v>
      </c>
      <c r="F17" s="191">
        <f>VLOOKUP(C17,'BD  Materiales y equipos'!$B$3:$F$190,4,FALSE())</f>
        <v>0</v>
      </c>
      <c r="G17" s="133">
        <v>18</v>
      </c>
      <c r="H17" s="194">
        <f>VLOOKUP(C17,'BD  Materiales y equipos'!$B$3:$K$190,8,FALSE())*G17</f>
        <v>92.073613242362129</v>
      </c>
      <c r="I17" s="194">
        <f t="shared" si="2"/>
        <v>14.951017049595416</v>
      </c>
      <c r="J17" s="194">
        <f t="shared" si="3"/>
        <v>0</v>
      </c>
      <c r="K17" s="191" t="str">
        <f>VLOOKUP(C17,'BD  Materiales y equipos'!$B$3:$L$190,11,FALSE())</f>
        <v>IMPORTADO</v>
      </c>
      <c r="L17" s="436">
        <f t="shared" si="0"/>
        <v>1</v>
      </c>
      <c r="M17" s="595">
        <f t="shared" si="1"/>
        <v>1</v>
      </c>
      <c r="N17" s="194">
        <f>VLOOKUP(C17,'BD  Materiales y equipos'!$B$3:$K$190,9,FALSE())*0.811905633063426</f>
        <v>0.16238112661268522</v>
      </c>
      <c r="O17" s="194">
        <f>VLOOKUP(C17,'BD  Materiales y equipos'!$B$3:$K$190,10,FALSE())*1.14265904837007</f>
        <v>0</v>
      </c>
    </row>
    <row r="18" spans="1:18" ht="13.5" thickBot="1">
      <c r="A18" s="584" t="str">
        <f>IF(VLOOKUP(C18,'BD  Materiales y equipos'!$B$3:$F$190,1,FALSE())=C18,"CORRECTO","NO LISTADO")</f>
        <v>CORRECTO</v>
      </c>
      <c r="B18" s="147" t="s">
        <v>411</v>
      </c>
      <c r="C18" s="147" t="s">
        <v>780</v>
      </c>
      <c r="D18" s="191" t="str">
        <f>VLOOKUP(C18,'BD  Materiales y equipos'!$B$3:$F$190,2,FALSE())</f>
        <v>Junta</v>
      </c>
      <c r="E18" s="191">
        <f>VLOOKUP(C18,'BD  Materiales y equipos'!$B$3:$F$190,3,FALSE())</f>
        <v>0</v>
      </c>
      <c r="F18" s="191">
        <f>VLOOKUP(C18,'BD  Materiales y equipos'!$B$3:$F$190,4,FALSE())</f>
        <v>0</v>
      </c>
      <c r="G18" s="133">
        <v>2</v>
      </c>
      <c r="H18" s="194">
        <f>VLOOKUP(C18,'BD  Materiales y equipos'!$B$3:$K$190,8,FALSE())*G18</f>
        <v>3.0960425505472644</v>
      </c>
      <c r="I18" s="194">
        <f t="shared" si="2"/>
        <v>1.702902735663804</v>
      </c>
      <c r="J18" s="194">
        <f t="shared" si="3"/>
        <v>0</v>
      </c>
      <c r="K18" s="191" t="str">
        <f>VLOOKUP(C18,'BD  Materiales y equipos'!$B$3:$L$190,11,FALSE())</f>
        <v>IMPORTADO</v>
      </c>
      <c r="L18" s="436">
        <f t="shared" si="0"/>
        <v>1</v>
      </c>
      <c r="M18" s="595">
        <f t="shared" si="1"/>
        <v>1</v>
      </c>
      <c r="N18" s="194">
        <f>VLOOKUP(C18,'BD  Materiales y equipos'!$B$3:$K$190,9,FALSE())*0.811905633063426</f>
        <v>0.5500256239575243</v>
      </c>
      <c r="O18" s="194">
        <f>VLOOKUP(C18,'BD  Materiales y equipos'!$B$3:$K$190,10,FALSE())*1.14265904837007</f>
        <v>0</v>
      </c>
    </row>
    <row r="19" spans="1:18" ht="13.5" thickBot="1">
      <c r="A19" s="584" t="str">
        <f>IF(VLOOKUP(C19,'BD  Materiales y equipos'!$B$3:$F$190,1,FALSE())=C19,"CORRECTO","NO LISTADO")</f>
        <v>CORRECTO</v>
      </c>
      <c r="B19" s="147" t="s">
        <v>411</v>
      </c>
      <c r="C19" s="147" t="s">
        <v>763</v>
      </c>
      <c r="D19" s="191" t="str">
        <f>VLOOKUP(C19,'BD  Materiales y equipos'!$B$3:$F$190,2,FALSE())</f>
        <v>Unidad</v>
      </c>
      <c r="E19" s="191">
        <f>VLOOKUP(C19,'BD  Materiales y equipos'!$B$3:$F$190,3,FALSE())</f>
        <v>0</v>
      </c>
      <c r="F19" s="191" t="str">
        <f>VLOOKUP(C19,'BD  Materiales y equipos'!$B$3:$F$190,4,FALSE())</f>
        <v>150#</v>
      </c>
      <c r="G19" s="133">
        <v>18</v>
      </c>
      <c r="H19" s="194">
        <f>VLOOKUP(C19,'BD  Materiales y equipos'!$B$3:$K$190,8,FALSE())*G19</f>
        <v>8.0126672616894687</v>
      </c>
      <c r="I19" s="194">
        <f t="shared" si="2"/>
        <v>60.696591966914617</v>
      </c>
      <c r="J19" s="194">
        <f t="shared" si="3"/>
        <v>0</v>
      </c>
      <c r="K19" s="191" t="str">
        <f>VLOOKUP(C19,'BD  Materiales y equipos'!$B$3:$L$190,11,FALSE())</f>
        <v>IMPORTADO</v>
      </c>
      <c r="L19" s="436">
        <f t="shared" si="0"/>
        <v>1</v>
      </c>
      <c r="M19" s="595">
        <f t="shared" si="1"/>
        <v>1</v>
      </c>
      <c r="N19" s="194">
        <f>VLOOKUP(C19,'BD  Materiales y equipos'!$B$3:$K$190,9,FALSE())*0.811905633063426</f>
        <v>7.5750795564817643</v>
      </c>
      <c r="O19" s="194">
        <f>VLOOKUP(C19,'BD  Materiales y equipos'!$B$3:$K$190,10,FALSE())*1.14265904837007</f>
        <v>0</v>
      </c>
    </row>
    <row r="20" spans="1:18" ht="13.5" thickBot="1">
      <c r="A20" s="584" t="str">
        <f>IF(VLOOKUP(C20,'BD  Materiales y equipos'!$B$3:$F$190,1,FALSE())=C20,"CORRECTO","NO LISTADO")</f>
        <v>CORRECTO</v>
      </c>
      <c r="B20" s="147" t="s">
        <v>411</v>
      </c>
      <c r="C20" s="147" t="s">
        <v>781</v>
      </c>
      <c r="D20" s="191" t="str">
        <f>VLOOKUP(C20,'BD  Materiales y equipos'!$B$3:$F$190,2,FALSE())</f>
        <v>Unidad</v>
      </c>
      <c r="E20" s="191">
        <f>VLOOKUP(C20,'BD  Materiales y equipos'!$B$3:$F$190,3,FALSE())</f>
        <v>0</v>
      </c>
      <c r="F20" s="191" t="str">
        <f>VLOOKUP(C20,'BD  Materiales y equipos'!$B$3:$F$190,4,FALSE())</f>
        <v>300#</v>
      </c>
      <c r="G20" s="133">
        <v>2</v>
      </c>
      <c r="H20" s="194">
        <f>VLOOKUP(C20,'BD  Materiales y equipos'!$B$3:$K$190,8,FALSE())*G20</f>
        <v>0.59353090827329402</v>
      </c>
      <c r="I20" s="194">
        <f t="shared" si="2"/>
        <v>2.8913465269460339</v>
      </c>
      <c r="J20" s="194">
        <f t="shared" si="3"/>
        <v>0</v>
      </c>
      <c r="K20" s="191" t="str">
        <f>VLOOKUP(C20,'BD  Materiales y equipos'!$B$3:$L$190,11,FALSE())</f>
        <v>IMPORTADO</v>
      </c>
      <c r="L20" s="436">
        <f t="shared" si="0"/>
        <v>1</v>
      </c>
      <c r="M20" s="595">
        <f t="shared" si="1"/>
        <v>1</v>
      </c>
      <c r="N20" s="194">
        <f>VLOOKUP(C20,'BD  Materiales y equipos'!$B$3:$K$190,9,FALSE())*0.811905633063426</f>
        <v>4.871433798380556</v>
      </c>
      <c r="O20" s="194">
        <f>VLOOKUP(C20,'BD  Materiales y equipos'!$B$3:$K$190,10,FALSE())*1.14265904837007</f>
        <v>0</v>
      </c>
    </row>
    <row r="21" spans="1:18" ht="13.5" thickBot="1">
      <c r="A21" s="584" t="str">
        <f>IF(VLOOKUP(C21,'BD  Materiales y equipos'!$B$3:$F$190,1,FALSE())=C21,"CORRECTO","NO LISTADO")</f>
        <v>CORRECTO</v>
      </c>
      <c r="B21" s="147" t="s">
        <v>411</v>
      </c>
      <c r="C21" s="147" t="s">
        <v>782</v>
      </c>
      <c r="D21" s="191" t="str">
        <f>VLOOKUP(C21,'BD  Materiales y equipos'!$B$3:$F$190,2,FALSE())</f>
        <v>Global</v>
      </c>
      <c r="E21" s="191">
        <f>VLOOKUP(C21,'BD  Materiales y equipos'!$B$3:$F$190,3,FALSE())</f>
        <v>0</v>
      </c>
      <c r="F21" s="191">
        <f>VLOOKUP(C21,'BD  Materiales y equipos'!$B$3:$F$190,4,FALSE())</f>
        <v>0</v>
      </c>
      <c r="G21" s="133">
        <v>1</v>
      </c>
      <c r="H21" s="194">
        <f>VLOOKUP(C21,'BD  Materiales y equipos'!$B$3:$K$190,8,FALSE())*G21</f>
        <v>91.997290782360579</v>
      </c>
      <c r="I21" s="194">
        <f t="shared" si="2"/>
        <v>1044.6756575057893</v>
      </c>
      <c r="J21" s="194">
        <f t="shared" si="3"/>
        <v>0</v>
      </c>
      <c r="K21" s="191" t="str">
        <f>VLOOKUP(C21,'BD  Materiales y equipos'!$B$3:$L$190,11,FALSE())</f>
        <v>NACIONAL</v>
      </c>
      <c r="L21" s="436">
        <f t="shared" si="0"/>
        <v>1</v>
      </c>
      <c r="M21" s="595">
        <f t="shared" si="1"/>
        <v>1</v>
      </c>
      <c r="N21" s="194">
        <f>VLOOKUP(C21,'BD  Materiales y equipos'!$B$3:$K$190,9,FALSE())*0.811905633063426</f>
        <v>11.355504587381761</v>
      </c>
      <c r="O21" s="194">
        <f>VLOOKUP(C21,'BD  Materiales y equipos'!$B$3:$K$190,10,FALSE())*1.14265904837007</f>
        <v>0</v>
      </c>
    </row>
    <row r="22" spans="1:18" ht="13.5" thickBot="1">
      <c r="A22" s="584" t="str">
        <f>IF(VLOOKUP(C22,'BD  Materiales y equipos'!$B$3:$F$190,1,FALSE())=C22,"CORRECTO","NO LISTADO")</f>
        <v>CORRECTO</v>
      </c>
      <c r="B22" s="147" t="s">
        <v>411</v>
      </c>
      <c r="C22" s="147" t="s">
        <v>824</v>
      </c>
      <c r="D22" s="191" t="str">
        <f>VLOOKUP(C22,'BD  Materiales y equipos'!$B$3:$F$190,2,FALSE())</f>
        <v>Unidad</v>
      </c>
      <c r="E22" s="191">
        <f>VLOOKUP(C22,'BD  Materiales y equipos'!$B$3:$F$190,3,FALSE())</f>
        <v>0</v>
      </c>
      <c r="F22" s="191" t="str">
        <f>VLOOKUP(C22,'BD  Materiales y equipos'!$B$3:$F$190,4,FALSE())</f>
        <v>300#</v>
      </c>
      <c r="G22" s="133">
        <v>6</v>
      </c>
      <c r="H22" s="194">
        <f>VLOOKUP(C22,'BD  Materiales y equipos'!$B$3:$K$190,8,FALSE())*G22</f>
        <v>1066.5750421671094</v>
      </c>
      <c r="I22" s="194">
        <f t="shared" si="2"/>
        <v>7200.3282658067919</v>
      </c>
      <c r="J22" s="194">
        <f t="shared" si="3"/>
        <v>5931.6205867664212</v>
      </c>
      <c r="K22" s="191" t="str">
        <f>VLOOKUP(C22,'BD  Materiales y equipos'!$B$3:$L$190,11,FALSE())</f>
        <v>IMPORTADO</v>
      </c>
      <c r="L22" s="436">
        <f t="shared" si="0"/>
        <v>1</v>
      </c>
      <c r="M22" s="595">
        <f t="shared" si="1"/>
        <v>1</v>
      </c>
      <c r="N22" s="194">
        <f>VLOOKUP(C22,'BD  Materiales y equipos'!$B$3:$K$190,9,FALSE())*0.811905633063426</f>
        <v>6.7508876367263202</v>
      </c>
      <c r="O22" s="194">
        <f>VLOOKUP(C22,'BD  Materiales y equipos'!$B$3:$K$190,10,FALSE())*1.14265904837007</f>
        <v>5.5613720106503894</v>
      </c>
    </row>
    <row r="23" spans="1:18" ht="13.5" thickBot="1">
      <c r="A23" s="584" t="str">
        <f>IF(VLOOKUP(C23,'BD  Materiales y equipos'!$B$3:$F$190,1,FALSE())=C23,"CORRECTO","NO LISTADO")</f>
        <v>CORRECTO</v>
      </c>
      <c r="B23" s="147" t="s">
        <v>411</v>
      </c>
      <c r="C23" s="147" t="s">
        <v>783</v>
      </c>
      <c r="D23" s="191" t="str">
        <f>VLOOKUP(C23,'BD  Materiales y equipos'!$B$3:$F$190,2,FALSE())</f>
        <v>Unidad</v>
      </c>
      <c r="E23" s="191">
        <f>VLOOKUP(C23,'BD  Materiales y equipos'!$B$3:$F$190,3,FALSE())</f>
        <v>0</v>
      </c>
      <c r="F23" s="191" t="str">
        <f>VLOOKUP(C23,'BD  Materiales y equipos'!$B$3:$F$190,4,FALSE())</f>
        <v>300#</v>
      </c>
      <c r="G23" s="133">
        <v>1</v>
      </c>
      <c r="H23" s="194">
        <f>VLOOKUP(C23,'BD  Materiales y equipos'!$B$3:$K$190,8,FALSE())*G23</f>
        <v>73.894598080025105</v>
      </c>
      <c r="I23" s="194">
        <f t="shared" si="2"/>
        <v>604.13884296220488</v>
      </c>
      <c r="J23" s="194">
        <f t="shared" si="3"/>
        <v>547.36499268304658</v>
      </c>
      <c r="K23" s="191" t="str">
        <f>VLOOKUP(C23,'BD  Materiales y equipos'!$B$3:$L$190,11,FALSE())</f>
        <v>IMPORTADO</v>
      </c>
      <c r="L23" s="436">
        <f t="shared" si="0"/>
        <v>1</v>
      </c>
      <c r="M23" s="595">
        <f t="shared" si="1"/>
        <v>1</v>
      </c>
      <c r="N23" s="194">
        <f>VLOOKUP(C23,'BD  Materiales y equipos'!$B$3:$K$190,9,FALSE())*0.811905633063426</f>
        <v>8.1756834553446645</v>
      </c>
      <c r="O23" s="194">
        <f>VLOOKUP(C23,'BD  Materiales y equipos'!$B$3:$K$190,10,FALSE())*1.14265904837007</f>
        <v>7.4073749219160865</v>
      </c>
    </row>
    <row r="24" spans="1:18" ht="13.5" thickBot="1">
      <c r="A24" s="584" t="str">
        <f>IF(VLOOKUP(C24,'BD  Materiales y equipos'!$B$3:$F$190,1,FALSE())=C24,"CORRECTO","NO LISTADO")</f>
        <v>CORRECTO</v>
      </c>
      <c r="B24" s="147" t="s">
        <v>411</v>
      </c>
      <c r="C24" s="147" t="s">
        <v>741</v>
      </c>
      <c r="D24" s="191" t="str">
        <f>VLOOKUP(C24,'BD  Materiales y equipos'!$B$3:$F$190,2,FALSE())</f>
        <v>Unidad</v>
      </c>
      <c r="E24" s="191">
        <f>VLOOKUP(C24,'BD  Materiales y equipos'!$B$3:$F$190,3,FALSE())</f>
        <v>0</v>
      </c>
      <c r="F24" s="191" t="str">
        <f>VLOOKUP(C24,'BD  Materiales y equipos'!$B$3:$F$190,4,FALSE())</f>
        <v>150#</v>
      </c>
      <c r="G24" s="133">
        <v>8</v>
      </c>
      <c r="H24" s="194">
        <f>VLOOKUP(C24,'BD  Materiales y equipos'!$B$3:$K$190,8,FALSE())*G24</f>
        <v>104.46143985609974</v>
      </c>
      <c r="I24" s="194">
        <f t="shared" si="2"/>
        <v>718.73110145672604</v>
      </c>
      <c r="J24" s="194">
        <f t="shared" si="3"/>
        <v>773.7850498973188</v>
      </c>
      <c r="K24" s="191" t="str">
        <f>VLOOKUP(C24,'BD  Materiales y equipos'!$B$3:$L$190,11,FALSE())</f>
        <v>IMPORTADO</v>
      </c>
      <c r="L24" s="436">
        <f t="shared" si="0"/>
        <v>1</v>
      </c>
      <c r="M24" s="595">
        <f t="shared" si="1"/>
        <v>1</v>
      </c>
      <c r="N24" s="194">
        <f>VLOOKUP(C24,'BD  Materiales y equipos'!$B$3:$K$190,9,FALSE())*0.811905633063426</f>
        <v>6.8803484084348243</v>
      </c>
      <c r="O24" s="194">
        <f>VLOOKUP(C24,'BD  Materiales y equipos'!$B$3:$K$190,10,FALSE())*1.14265904837007</f>
        <v>7.4073749219160865</v>
      </c>
    </row>
    <row r="25" spans="1:18" ht="13.5" thickBot="1">
      <c r="A25" s="584" t="str">
        <f>IF(VLOOKUP(C25,'BD  Materiales y equipos'!$B$3:$F$190,1,FALSE())=C25,"CORRECTO","NO LISTADO")</f>
        <v>CORRECTO</v>
      </c>
      <c r="B25" s="147" t="s">
        <v>411</v>
      </c>
      <c r="C25" s="147" t="s">
        <v>742</v>
      </c>
      <c r="D25" s="191" t="str">
        <f>VLOOKUP(C25,'BD  Materiales y equipos'!$B$3:$F$190,2,FALSE())</f>
        <v>Unidad</v>
      </c>
      <c r="E25" s="191">
        <f>VLOOKUP(C25,'BD  Materiales y equipos'!$B$3:$F$190,3,FALSE())</f>
        <v>0</v>
      </c>
      <c r="F25" s="191" t="str">
        <f>VLOOKUP(C25,'BD  Materiales y equipos'!$B$3:$F$190,4,FALSE())</f>
        <v>150#</v>
      </c>
      <c r="G25" s="133">
        <v>8</v>
      </c>
      <c r="H25" s="194">
        <f>VLOOKUP(C25,'BD  Materiales y equipos'!$B$3:$K$190,8,FALSE())*G25</f>
        <v>35.61185449639764</v>
      </c>
      <c r="I25" s="194">
        <f t="shared" si="2"/>
        <v>422.67738508773442</v>
      </c>
      <c r="J25" s="194">
        <f t="shared" si="3"/>
        <v>263.7903579195405</v>
      </c>
      <c r="K25" s="191" t="str">
        <f>VLOOKUP(C25,'BD  Materiales y equipos'!$B$3:$L$190,11,FALSE())</f>
        <v>IMPORTADO</v>
      </c>
      <c r="L25" s="436">
        <f t="shared" si="0"/>
        <v>1</v>
      </c>
      <c r="M25" s="595">
        <f t="shared" si="1"/>
        <v>1</v>
      </c>
      <c r="N25" s="194">
        <f>VLOOKUP(C25,'BD  Materiales y equipos'!$B$3:$K$190,9,FALSE())*0.811905633063426</f>
        <v>11.869007976837905</v>
      </c>
      <c r="O25" s="194">
        <f>VLOOKUP(C25,'BD  Materiales y equipos'!$B$3:$K$190,10,FALSE())*1.14265904837007</f>
        <v>7.4073749219160865</v>
      </c>
    </row>
    <row r="26" spans="1:18" ht="13.5" thickBot="1">
      <c r="A26" s="584" t="str">
        <f>IF(VLOOKUP(C26,'BD  Materiales y equipos'!$B$3:$F$190,1,FALSE())=C26,"CORRECTO","NO LISTADO")</f>
        <v>CORRECTO</v>
      </c>
      <c r="B26" s="147" t="s">
        <v>411</v>
      </c>
      <c r="C26" s="147" t="s">
        <v>784</v>
      </c>
      <c r="D26" s="191" t="str">
        <f>VLOOKUP(C26,'BD  Materiales y equipos'!$B$3:$F$190,2,FALSE())</f>
        <v>Unidad</v>
      </c>
      <c r="E26" s="191">
        <f>VLOOKUP(C26,'BD  Materiales y equipos'!$B$3:$F$190,3,FALSE())</f>
        <v>0</v>
      </c>
      <c r="F26" s="191">
        <f>VLOOKUP(C26,'BD  Materiales y equipos'!$B$3:$F$190,4,FALSE())</f>
        <v>0</v>
      </c>
      <c r="G26" s="133">
        <v>7</v>
      </c>
      <c r="H26" s="194">
        <f>VLOOKUP(C26,'BD  Materiales y equipos'!$B$3:$K$190,8,FALSE())*G26</f>
        <v>145.41507252695703</v>
      </c>
      <c r="I26" s="194">
        <f t="shared" si="2"/>
        <v>13332.890334260639</v>
      </c>
      <c r="J26" s="194">
        <f t="shared" si="3"/>
        <v>9519.2977143958651</v>
      </c>
      <c r="K26" s="191" t="str">
        <f>VLOOKUP(C26,'BD  Materiales y equipos'!$B$3:$L$190,11,FALSE())</f>
        <v>IMPORTADO</v>
      </c>
      <c r="L26" s="436">
        <f t="shared" si="0"/>
        <v>1</v>
      </c>
      <c r="M26" s="595">
        <f t="shared" si="1"/>
        <v>1</v>
      </c>
      <c r="N26" s="194">
        <f>VLOOKUP(C26,'BD  Materiales y equipos'!$B$3:$K$190,9,FALSE())*0.811905633063426</f>
        <v>91.688503141852706</v>
      </c>
      <c r="O26" s="194">
        <f>VLOOKUP(C26,'BD  Materiales y equipos'!$B$3:$K$190,10,FALSE())*1.14265904837007</f>
        <v>65.462936881121308</v>
      </c>
    </row>
    <row r="27" spans="1:18" ht="39" thickBot="1">
      <c r="A27" s="585" t="str">
        <f>IF(VLOOKUP(C27,'BD  Materiales y equipos'!$B$3:$F$190,1,FALSE())=C27,"CORRECTO","NO LISTADO")</f>
        <v>CORRECTO</v>
      </c>
      <c r="B27" s="586" t="s">
        <v>412</v>
      </c>
      <c r="C27" s="586" t="s">
        <v>785</v>
      </c>
      <c r="D27" s="587" t="str">
        <f>VLOOKUP(C27,'BD  Materiales y equipos'!$B$3:$F$190,2,FALSE())</f>
        <v>Unidad</v>
      </c>
      <c r="E27" s="587">
        <f>VLOOKUP(C27,'BD  Materiales y equipos'!$B$3:$F$190,3,FALSE())</f>
        <v>0</v>
      </c>
      <c r="F27" s="587" t="str">
        <f>VLOOKUP(C27,'BD  Materiales y equipos'!$B$3:$F$190,4,FALSE())</f>
        <v>300#</v>
      </c>
      <c r="G27" s="599">
        <v>3</v>
      </c>
      <c r="H27" s="589">
        <f>VLOOKUP(C27,'BD  Materiales y equipos'!$B$3:$K$190,8,FALSE())*G27</f>
        <v>1068.3556348919292</v>
      </c>
      <c r="I27" s="589">
        <f t="shared" si="2"/>
        <v>36717.146236208951</v>
      </c>
      <c r="J27" s="589">
        <f t="shared" si="3"/>
        <v>5941.5231253086013</v>
      </c>
      <c r="K27" s="587" t="str">
        <f>VLOOKUP(C27,'BD  Materiales y equipos'!$B$3:$L$190,11,FALSE())</f>
        <v>NACIONAL</v>
      </c>
      <c r="L27" s="436">
        <f>ppi_usa_filt/ppi_usa_filt_base</f>
        <v>1</v>
      </c>
      <c r="M27" s="595">
        <f t="shared" si="1"/>
        <v>1</v>
      </c>
      <c r="N27" s="589">
        <f>VLOOKUP(C27,'BD  Materiales y equipos'!$B$3:$K$190,9,FALSE())*1.15877100737422</f>
        <v>34.367906188769361</v>
      </c>
      <c r="O27" s="589">
        <f>VLOOKUP(C27,'BD  Materiales y equipos'!$B$3:$K$190,10,FALSE())*1.14265904837007</f>
        <v>5.5613720106503894</v>
      </c>
      <c r="Q27" s="70"/>
      <c r="R27" s="70"/>
    </row>
  </sheetData>
  <autoFilter ref="A1:I27" xr:uid="{00000000-0009-0000-0000-000012000000}"/>
  <conditionalFormatting sqref="A2:A27">
    <cfRule type="cellIs" dxfId="21" priority="2" operator="equal">
      <formula>"CORRECTO"</formula>
    </cfRule>
    <cfRule type="cellIs" dxfId="20" priority="3" operator="notEqual">
      <formula>"CORRECTO"</formula>
    </cfRule>
  </conditionalFormatting>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9">
    <tabColor theme="5" tint="0.79998168889431442"/>
  </sheetPr>
  <dimension ref="A1:U25"/>
  <sheetViews>
    <sheetView showGridLines="0" showRowColHeaders="0" topLeftCell="K1" zoomScaleNormal="100" workbookViewId="0">
      <pane ySplit="1" topLeftCell="A16" activePane="bottomLeft" state="frozen"/>
      <selection activeCell="C17" sqref="C17:H17"/>
      <selection pane="bottomLeft" activeCell="C17" sqref="C17:H17"/>
    </sheetView>
  </sheetViews>
  <sheetFormatPr baseColWidth="10" defaultColWidth="9.140625" defaultRowHeight="12.75"/>
  <cols>
    <col min="1" max="1" width="11.28515625" customWidth="1"/>
    <col min="2" max="2" width="19.140625" customWidth="1"/>
    <col min="3" max="3" width="89.7109375" customWidth="1"/>
    <col min="4" max="4" width="10.7109375" customWidth="1"/>
    <col min="5" max="5" width="14" customWidth="1"/>
    <col min="6" max="6" width="6.85546875" customWidth="1"/>
    <col min="7" max="7" width="13.42578125" customWidth="1"/>
    <col min="8" max="8" width="20.140625" style="190" customWidth="1"/>
    <col min="9" max="9" width="15.28515625" style="190" customWidth="1"/>
    <col min="10" max="10" width="27.42578125" style="190" customWidth="1"/>
    <col min="11" max="11" width="10.7109375" customWidth="1"/>
    <col min="12" max="13" width="24.85546875" customWidth="1"/>
    <col min="14" max="15" width="25" customWidth="1"/>
    <col min="16" max="1025" width="58.85546875" customWidth="1"/>
  </cols>
  <sheetData>
    <row r="1" spans="1:21" ht="38.25" thickBot="1">
      <c r="A1" s="596" t="s">
        <v>955</v>
      </c>
      <c r="B1" s="597" t="s">
        <v>956</v>
      </c>
      <c r="C1" s="597" t="s">
        <v>957</v>
      </c>
      <c r="D1" s="597" t="s">
        <v>699</v>
      </c>
      <c r="E1" s="597" t="s">
        <v>700</v>
      </c>
      <c r="F1" s="597" t="s">
        <v>701</v>
      </c>
      <c r="G1" s="597" t="s">
        <v>673</v>
      </c>
      <c r="H1" s="598" t="s">
        <v>958</v>
      </c>
      <c r="I1" s="598" t="s">
        <v>964</v>
      </c>
      <c r="J1" s="598" t="s">
        <v>960</v>
      </c>
      <c r="K1" s="619" t="s">
        <v>706</v>
      </c>
      <c r="L1" s="605" t="s">
        <v>961</v>
      </c>
      <c r="M1" s="197" t="s">
        <v>962</v>
      </c>
      <c r="N1" s="598" t="s">
        <v>965</v>
      </c>
      <c r="O1" s="598" t="s">
        <v>966</v>
      </c>
    </row>
    <row r="2" spans="1:21" ht="13.5" thickBot="1">
      <c r="A2" s="590" t="str">
        <f>IF(VLOOKUP(C2,'BD  Materiales y equipos'!$B$3:$F$190,1,FALSE())=C2,"CORRECTO","NO LISTADO")</f>
        <v>CORRECTO</v>
      </c>
      <c r="B2" s="591" t="s">
        <v>411</v>
      </c>
      <c r="C2" s="591" t="s">
        <v>746</v>
      </c>
      <c r="D2" s="592" t="str">
        <f>VLOOKUP(C2,'BD  Materiales y equipos'!$B$3:$F$190,2,FALSE())</f>
        <v>Metro lineal</v>
      </c>
      <c r="E2" s="592">
        <f>VLOOKUP(C2,'BD  Materiales y equipos'!$B$3:$F$190,3,FALSE())</f>
        <v>40</v>
      </c>
      <c r="F2" s="592">
        <f>VLOOKUP(C2,'BD  Materiales y equipos'!$B$3:$F$190,4,FALSE())</f>
        <v>0</v>
      </c>
      <c r="G2" s="601">
        <v>48</v>
      </c>
      <c r="H2" s="594">
        <f>VLOOKUP(C2,'BD  Materiales y equipos'!$B$3:$I$190,8,FALSE())*G2</f>
        <v>606.68355320063029</v>
      </c>
      <c r="I2" s="594">
        <f>N2*H2*L2</f>
        <v>1087.1143376463801</v>
      </c>
      <c r="J2" s="618">
        <f>O2*H2*M2</f>
        <v>2092.6516554279087</v>
      </c>
      <c r="K2" s="592" t="str">
        <f>VLOOKUP(C2,'BD  Materiales y equipos'!$B$3:$L$190,11,FALSE())</f>
        <v>IMPORTADO</v>
      </c>
      <c r="L2" s="436">
        <f t="shared" ref="L2:L21" si="0">+acero/acero_base</f>
        <v>1</v>
      </c>
      <c r="M2" s="421">
        <f t="shared" ref="M2:M23" si="1">(0.65*ipc/ipc_base*trm_base/trm+0.35*fac_mano_obra)</f>
        <v>1</v>
      </c>
      <c r="N2" s="594">
        <f>VLOOKUP(C2,'BD  Materiales y equipos'!$B$3:$K$190,9,FALSE())*0.811905633063426</f>
        <v>1.7918968330543672</v>
      </c>
      <c r="O2" s="618">
        <f>VLOOKUP(C2,'BD  Materiales y equipos'!$B$3:$K$190,10,FALSE())*1.14265904837007</f>
        <v>3.4493297937415299</v>
      </c>
      <c r="S2">
        <v>1338.9663692128306</v>
      </c>
      <c r="T2">
        <v>1338.9663692128306</v>
      </c>
      <c r="U2" t="s">
        <v>710</v>
      </c>
    </row>
    <row r="3" spans="1:21" ht="13.5" thickBot="1">
      <c r="A3" s="584" t="str">
        <f>IF(VLOOKUP(C3,'BD  Materiales y equipos'!$B$3:$F$190,1,FALSE())=C3,"CORRECTO","NO LISTADO")</f>
        <v>CORRECTO</v>
      </c>
      <c r="B3" s="147" t="s">
        <v>411</v>
      </c>
      <c r="C3" s="147" t="s">
        <v>712</v>
      </c>
      <c r="D3" s="191" t="str">
        <f>VLOOKUP(C3,'BD  Materiales y equipos'!$B$3:$F$190,2,FALSE())</f>
        <v>Metro lineal</v>
      </c>
      <c r="E3" s="191">
        <f>VLOOKUP(C3,'BD  Materiales y equipos'!$B$3:$F$190,3,FALSE())</f>
        <v>40</v>
      </c>
      <c r="F3" s="191">
        <f>VLOOKUP(C3,'BD  Materiales y equipos'!$B$3:$F$190,4,FALSE())</f>
        <v>0</v>
      </c>
      <c r="G3" s="133">
        <v>24</v>
      </c>
      <c r="H3" s="194">
        <f>VLOOKUP(C3,'BD  Materiales y equipos'!$B$3:$I$190,8,FALSE())*G3</f>
        <v>114.68394493861445</v>
      </c>
      <c r="I3" s="194">
        <f t="shared" ref="I3:I23" si="2">N3*H3*L3</f>
        <v>358.52696934130847</v>
      </c>
      <c r="J3" s="483">
        <f t="shared" ref="J3:J23" si="3">O3*H3*M3</f>
        <v>475.95520265672951</v>
      </c>
      <c r="K3" s="191" t="str">
        <f>VLOOKUP(C3,'BD  Materiales y equipos'!$B$3:$L$190,11,FALSE())</f>
        <v>IMPORTADO</v>
      </c>
      <c r="L3" s="436">
        <f t="shared" si="0"/>
        <v>1</v>
      </c>
      <c r="M3" s="421">
        <f t="shared" si="1"/>
        <v>1</v>
      </c>
      <c r="N3" s="194">
        <f>VLOOKUP(C3,'BD  Materiales y equipos'!$B$3:$K$190,9,FALSE())*0.811905633063426</f>
        <v>3.1262176195038727</v>
      </c>
      <c r="O3" s="483">
        <f>VLOOKUP(C3,'BD  Materiales y equipos'!$B$3:$K$190,10,FALSE())*1.14265904837007</f>
        <v>4.1501467612706255</v>
      </c>
      <c r="S3">
        <v>441.58699575533103</v>
      </c>
      <c r="T3">
        <v>441.58699575533103</v>
      </c>
      <c r="U3" t="s">
        <v>710</v>
      </c>
    </row>
    <row r="4" spans="1:21" ht="13.5" thickBot="1">
      <c r="A4" s="584" t="str">
        <f>IF(VLOOKUP(C4,'BD  Materiales y equipos'!$B$3:$F$190,1,FALSE())=C4,"CORRECTO","NO LISTADO")</f>
        <v>CORRECTO</v>
      </c>
      <c r="B4" s="147" t="s">
        <v>411</v>
      </c>
      <c r="C4" s="147" t="s">
        <v>713</v>
      </c>
      <c r="D4" s="191" t="str">
        <f>VLOOKUP(C4,'BD  Materiales y equipos'!$B$3:$F$190,2,FALSE())</f>
        <v>Metro lineal</v>
      </c>
      <c r="E4" s="191">
        <f>VLOOKUP(C4,'BD  Materiales y equipos'!$B$3:$F$190,3,FALSE())</f>
        <v>40</v>
      </c>
      <c r="F4" s="191">
        <f>VLOOKUP(C4,'BD  Materiales y equipos'!$B$3:$F$190,4,FALSE())</f>
        <v>0</v>
      </c>
      <c r="G4" s="133">
        <v>48</v>
      </c>
      <c r="H4" s="194">
        <f>VLOOKUP(C4,'BD  Materiales y equipos'!$B$3:$I$190,8,FALSE())*G4</f>
        <v>77.628947572126833</v>
      </c>
      <c r="I4" s="194">
        <f t="shared" si="2"/>
        <v>185.04617772454648</v>
      </c>
      <c r="J4" s="483">
        <f t="shared" si="3"/>
        <v>322.17152534730934</v>
      </c>
      <c r="K4" s="191" t="str">
        <f>VLOOKUP(C4,'BD  Materiales y equipos'!$B$3:$L$190,11,FALSE())</f>
        <v>IMPORTADO</v>
      </c>
      <c r="L4" s="436">
        <f t="shared" si="0"/>
        <v>1</v>
      </c>
      <c r="M4" s="421">
        <f t="shared" si="1"/>
        <v>1</v>
      </c>
      <c r="N4" s="194">
        <f>VLOOKUP(C4,'BD  Materiales y equipos'!$B$3:$K$190,9,FALSE())*0.811905633063426</f>
        <v>2.383726477196098</v>
      </c>
      <c r="O4" s="483">
        <f>VLOOKUP(C4,'BD  Materiales y equipos'!$B$3:$K$190,10,FALSE())*1.14265904837007</f>
        <v>4.1501467612706255</v>
      </c>
      <c r="S4">
        <v>227.91586877694527</v>
      </c>
      <c r="T4">
        <v>227.91586877694527</v>
      </c>
      <c r="U4" t="s">
        <v>710</v>
      </c>
    </row>
    <row r="5" spans="1:21" ht="13.5" thickBot="1">
      <c r="A5" s="584" t="str">
        <f>IF(VLOOKUP(C5,'BD  Materiales y equipos'!$B$3:$F$190,1,FALSE())=C5,"CORRECTO","NO LISTADO")</f>
        <v>CORRECTO</v>
      </c>
      <c r="B5" s="147" t="s">
        <v>411</v>
      </c>
      <c r="C5" s="147" t="s">
        <v>786</v>
      </c>
      <c r="D5" s="191" t="str">
        <f>VLOOKUP(C5,'BD  Materiales y equipos'!$B$3:$F$190,2,FALSE())</f>
        <v>Unidad</v>
      </c>
      <c r="E5" s="191" t="str">
        <f>VLOOKUP(C5,'BD  Materiales y equipos'!$B$3:$F$190,3,FALSE())</f>
        <v>STD</v>
      </c>
      <c r="F5" s="191">
        <f>VLOOKUP(C5,'BD  Materiales y equipos'!$B$3:$F$190,4,FALSE())</f>
        <v>0</v>
      </c>
      <c r="G5" s="133">
        <v>12</v>
      </c>
      <c r="H5" s="194">
        <f>VLOOKUP(C5,'BD  Materiales y equipos'!$B$3:$I$190,8,FALSE())*G5</f>
        <v>51.690449539571723</v>
      </c>
      <c r="I5" s="194">
        <f t="shared" si="2"/>
        <v>3131.328288682555</v>
      </c>
      <c r="J5" s="483">
        <f t="shared" si="3"/>
        <v>1478.3205377548522</v>
      </c>
      <c r="K5" s="191" t="str">
        <f>VLOOKUP(C5,'BD  Materiales y equipos'!$B$3:$L$190,11,FALSE())</f>
        <v>IMPORTADO</v>
      </c>
      <c r="L5" s="436">
        <f t="shared" si="0"/>
        <v>1</v>
      </c>
      <c r="M5" s="421">
        <f t="shared" si="1"/>
        <v>1</v>
      </c>
      <c r="N5" s="194">
        <f>VLOOKUP(C5,'BD  Materiales y equipos'!$B$3:$K$190,9,FALSE())*0.811905633063426</f>
        <v>60.578468877221901</v>
      </c>
      <c r="O5" s="483">
        <f>VLOOKUP(C5,'BD  Materiales y equipos'!$B$3:$K$190,10,FALSE())*1.14265904837007</f>
        <v>28.599490832888211</v>
      </c>
      <c r="S5">
        <v>3856.7638419598643</v>
      </c>
      <c r="T5">
        <v>3856.7638419598643</v>
      </c>
      <c r="U5" t="s">
        <v>710</v>
      </c>
    </row>
    <row r="6" spans="1:21" ht="13.5" thickBot="1">
      <c r="A6" s="584" t="str">
        <f>IF(VLOOKUP(C6,'BD  Materiales y equipos'!$B$3:$F$190,1,FALSE())=C6,"CORRECTO","NO LISTADO")</f>
        <v>CORRECTO</v>
      </c>
      <c r="B6" s="147" t="s">
        <v>411</v>
      </c>
      <c r="C6" s="147" t="s">
        <v>719</v>
      </c>
      <c r="D6" s="191" t="str">
        <f>VLOOKUP(C6,'BD  Materiales y equipos'!$B$3:$F$190,2,FALSE())</f>
        <v>Unidad</v>
      </c>
      <c r="E6" s="191" t="str">
        <f>VLOOKUP(C6,'BD  Materiales y equipos'!$B$3:$F$190,3,FALSE())</f>
        <v>STD</v>
      </c>
      <c r="F6" s="191">
        <f>VLOOKUP(C6,'BD  Materiales y equipos'!$B$3:$F$190,4,FALSE())</f>
        <v>0</v>
      </c>
      <c r="G6" s="133">
        <v>12</v>
      </c>
      <c r="H6" s="194">
        <f>VLOOKUP(C6,'BD  Materiales y equipos'!$B$3:$I$190,8,FALSE())*G6</f>
        <v>9.6919592886696968</v>
      </c>
      <c r="I6" s="194">
        <f t="shared" si="2"/>
        <v>1182.5607295209261</v>
      </c>
      <c r="J6" s="483">
        <f t="shared" si="3"/>
        <v>193.46168970876326</v>
      </c>
      <c r="K6" s="191" t="str">
        <f>VLOOKUP(C6,'BD  Materiales y equipos'!$B$3:$L$190,11,FALSE())</f>
        <v>IMPORTADO</v>
      </c>
      <c r="L6" s="436">
        <f t="shared" si="0"/>
        <v>1</v>
      </c>
      <c r="M6" s="421">
        <f t="shared" si="1"/>
        <v>1</v>
      </c>
      <c r="N6" s="194">
        <f>VLOOKUP(C6,'BD  Materiales y equipos'!$B$3:$K$190,9,FALSE())*0.811905633063426</f>
        <v>122.01461998539229</v>
      </c>
      <c r="O6" s="483">
        <f>VLOOKUP(C6,'BD  Materiales y equipos'!$B$3:$K$190,10,FALSE())*1.14265904837007</f>
        <v>19.961050593240525</v>
      </c>
      <c r="S6">
        <v>1456.5248489026612</v>
      </c>
      <c r="T6">
        <v>1456.5248489026612</v>
      </c>
      <c r="U6" t="s">
        <v>710</v>
      </c>
    </row>
    <row r="7" spans="1:21" ht="13.5" thickBot="1">
      <c r="A7" s="584" t="str">
        <f>IF(VLOOKUP(C7,'BD  Materiales y equipos'!$B$3:$F$190,1,FALSE())=C7,"CORRECTO","NO LISTADO")</f>
        <v>CORRECTO</v>
      </c>
      <c r="B7" s="147" t="s">
        <v>411</v>
      </c>
      <c r="C7" s="147" t="s">
        <v>720</v>
      </c>
      <c r="D7" s="191" t="str">
        <f>VLOOKUP(C7,'BD  Materiales y equipos'!$B$3:$F$190,2,FALSE())</f>
        <v>Unidad</v>
      </c>
      <c r="E7" s="191" t="str">
        <f>VLOOKUP(C7,'BD  Materiales y equipos'!$B$3:$F$190,3,FALSE())</f>
        <v>STD</v>
      </c>
      <c r="F7" s="191">
        <f>VLOOKUP(C7,'BD  Materiales y equipos'!$B$3:$F$190,4,FALSE())</f>
        <v>0</v>
      </c>
      <c r="G7" s="133">
        <v>18</v>
      </c>
      <c r="H7" s="194">
        <f>VLOOKUP(C7,'BD  Materiales y equipos'!$B$3:$I$190,8,FALSE())*G7</f>
        <v>2.4229898221674246</v>
      </c>
      <c r="I7" s="194">
        <f t="shared" si="2"/>
        <v>598.508731077829</v>
      </c>
      <c r="J7" s="483">
        <f t="shared" si="3"/>
        <v>120.76251643263885</v>
      </c>
      <c r="K7" s="191" t="str">
        <f>VLOOKUP(C7,'BD  Materiales y equipos'!$B$3:$L$190,11,FALSE())</f>
        <v>IMPORTADO</v>
      </c>
      <c r="L7" s="436">
        <f t="shared" si="0"/>
        <v>1</v>
      </c>
      <c r="M7" s="421">
        <f t="shared" si="1"/>
        <v>1</v>
      </c>
      <c r="N7" s="194">
        <f>VLOOKUP(C7,'BD  Materiales y equipos'!$B$3:$K$190,9,FALSE())*0.811905633063426</f>
        <v>247.01248251321505</v>
      </c>
      <c r="O7" s="483">
        <f>VLOOKUP(C7,'BD  Materiales y equipos'!$B$3:$K$190,10,FALSE())*1.14265904837007</f>
        <v>49.840290424585348</v>
      </c>
      <c r="S7">
        <v>737.16538807543111</v>
      </c>
      <c r="T7">
        <v>737.16538807543111</v>
      </c>
      <c r="U7" t="s">
        <v>710</v>
      </c>
    </row>
    <row r="8" spans="1:21" ht="13.5" thickBot="1">
      <c r="A8" s="584" t="str">
        <f>IF(VLOOKUP(C8,'BD  Materiales y equipos'!$B$3:$F$190,1,FALSE())=C8,"CORRECTO","NO LISTADO")</f>
        <v>CORRECTO</v>
      </c>
      <c r="B8" s="147" t="s">
        <v>411</v>
      </c>
      <c r="C8" s="147" t="s">
        <v>753</v>
      </c>
      <c r="D8" s="191" t="str">
        <f>VLOOKUP(C8,'BD  Materiales y equipos'!$B$3:$F$190,2,FALSE())</f>
        <v>Unidad</v>
      </c>
      <c r="E8" s="191">
        <f>VLOOKUP(C8,'BD  Materiales y equipos'!$B$3:$F$190,3,FALSE())</f>
        <v>0</v>
      </c>
      <c r="F8" s="191" t="str">
        <f>VLOOKUP(C8,'BD  Materiales y equipos'!$B$3:$F$190,4,FALSE())</f>
        <v>300#</v>
      </c>
      <c r="G8" s="133">
        <v>36</v>
      </c>
      <c r="H8" s="194">
        <f>VLOOKUP(C8,'BD  Materiales y equipos'!$B$3:$I$190,8,FALSE())*G8</f>
        <v>339.21857510343938</v>
      </c>
      <c r="I8" s="194">
        <f t="shared" si="2"/>
        <v>5933.0430732932628</v>
      </c>
      <c r="J8" s="483">
        <f t="shared" si="3"/>
        <v>2148.0330010264274</v>
      </c>
      <c r="K8" s="191" t="str">
        <f>VLOOKUP(C8,'BD  Materiales y equipos'!$B$3:$L$190,11,FALSE())</f>
        <v>IMPORTADO</v>
      </c>
      <c r="L8" s="436">
        <f t="shared" si="0"/>
        <v>1</v>
      </c>
      <c r="M8" s="421">
        <f t="shared" si="1"/>
        <v>1</v>
      </c>
      <c r="N8" s="194">
        <f>VLOOKUP(C8,'BD  Materiales y equipos'!$B$3:$K$190,9,FALSE())*0.811905633063426</f>
        <v>17.490324848761819</v>
      </c>
      <c r="O8" s="483">
        <f>VLOOKUP(C8,'BD  Materiales y equipos'!$B$3:$K$190,10,FALSE())*1.14265904837007</f>
        <v>6.3322976944037288</v>
      </c>
      <c r="S8">
        <v>7307.5525426607974</v>
      </c>
      <c r="T8">
        <v>7307.5525426607974</v>
      </c>
      <c r="U8" t="s">
        <v>710</v>
      </c>
    </row>
    <row r="9" spans="1:21" ht="13.5" thickBot="1">
      <c r="A9" s="584" t="str">
        <f>IF(VLOOKUP(C9,'BD  Materiales y equipos'!$B$3:$F$190,1,FALSE())=C9,"CORRECTO","NO LISTADO")</f>
        <v>CORRECTO</v>
      </c>
      <c r="B9" s="147" t="s">
        <v>411</v>
      </c>
      <c r="C9" s="147" t="s">
        <v>774</v>
      </c>
      <c r="D9" s="191" t="str">
        <f>VLOOKUP(C9,'BD  Materiales y equipos'!$B$3:$F$190,2,FALSE())</f>
        <v>Unidad</v>
      </c>
      <c r="E9" s="191">
        <f>VLOOKUP(C9,'BD  Materiales y equipos'!$B$3:$F$190,3,FALSE())</f>
        <v>0</v>
      </c>
      <c r="F9" s="191" t="str">
        <f>VLOOKUP(C9,'BD  Materiales y equipos'!$B$3:$F$190,4,FALSE())</f>
        <v>300#</v>
      </c>
      <c r="G9" s="133">
        <v>12</v>
      </c>
      <c r="H9" s="194">
        <f>VLOOKUP(C9,'BD  Materiales y equipos'!$B$3:$I$190,8,FALSE())*G9</f>
        <v>33.921857510343941</v>
      </c>
      <c r="I9" s="194">
        <f t="shared" si="2"/>
        <v>745.96740395207701</v>
      </c>
      <c r="J9" s="483">
        <f t="shared" si="3"/>
        <v>325.3147177436046</v>
      </c>
      <c r="K9" s="191" t="str">
        <f>VLOOKUP(C9,'BD  Materiales y equipos'!$B$3:$L$190,11,FALSE())</f>
        <v>IMPORTADO</v>
      </c>
      <c r="L9" s="436">
        <f t="shared" si="0"/>
        <v>1</v>
      </c>
      <c r="M9" s="421">
        <f t="shared" si="1"/>
        <v>1</v>
      </c>
      <c r="N9" s="194">
        <f>VLOOKUP(C9,'BD  Materiales y equipos'!$B$3:$K$190,9,FALSE())*0.811905633063426</f>
        <v>21.990759312770709</v>
      </c>
      <c r="O9" s="483">
        <f>VLOOKUP(C9,'BD  Materiales y equipos'!$B$3:$K$190,10,FALSE())*1.14265904837007</f>
        <v>9.5901209904087636</v>
      </c>
      <c r="S9">
        <v>918.78584600705949</v>
      </c>
      <c r="T9">
        <v>918.78584600705949</v>
      </c>
      <c r="U9" t="s">
        <v>710</v>
      </c>
    </row>
    <row r="10" spans="1:21" ht="13.5" thickBot="1">
      <c r="A10" s="584" t="str">
        <f>IF(VLOOKUP(C10,'BD  Materiales y equipos'!$B$3:$F$190,1,FALSE())=C10,"CORRECTO","NO LISTADO")</f>
        <v>CORRECTO</v>
      </c>
      <c r="B10" s="147" t="s">
        <v>411</v>
      </c>
      <c r="C10" s="147" t="s">
        <v>775</v>
      </c>
      <c r="D10" s="191" t="str">
        <f>VLOOKUP(C10,'BD  Materiales y equipos'!$B$3:$F$190,2,FALSE())</f>
        <v>Unidad</v>
      </c>
      <c r="E10" s="191">
        <f>VLOOKUP(C10,'BD  Materiales y equipos'!$B$3:$F$190,3,FALSE())</f>
        <v>0</v>
      </c>
      <c r="F10" s="191" t="str">
        <f>VLOOKUP(C10,'BD  Materiales y equipos'!$B$3:$F$190,4,FALSE())</f>
        <v>300#</v>
      </c>
      <c r="G10" s="133">
        <v>16</v>
      </c>
      <c r="H10" s="194">
        <f>VLOOKUP(C10,'BD  Materiales y equipos'!$B$3:$I$190,8,FALSE())*G10</f>
        <v>18.307034211931651</v>
      </c>
      <c r="I10" s="194">
        <f t="shared" si="2"/>
        <v>462.61544431136559</v>
      </c>
      <c r="J10" s="483">
        <f t="shared" si="3"/>
        <v>208.50997534787138</v>
      </c>
      <c r="K10" s="191" t="str">
        <f>VLOOKUP(C10,'BD  Materiales y equipos'!$B$3:$L$190,11,FALSE())</f>
        <v>IMPORTADO</v>
      </c>
      <c r="L10" s="436">
        <f t="shared" si="0"/>
        <v>1</v>
      </c>
      <c r="M10" s="421">
        <f t="shared" si="1"/>
        <v>1</v>
      </c>
      <c r="N10" s="194">
        <f>VLOOKUP(C10,'BD  Materiales y equipos'!$B$3:$K$190,9,FALSE())*0.811905633063426</f>
        <v>25.269819182937614</v>
      </c>
      <c r="O10" s="483">
        <f>VLOOKUP(C10,'BD  Materiales y equipos'!$B$3:$K$190,10,FALSE())*1.14265904837007</f>
        <v>11.38960974967614</v>
      </c>
      <c r="S10">
        <v>569.78967194236247</v>
      </c>
      <c r="T10">
        <v>569.78967194236247</v>
      </c>
      <c r="U10" t="s">
        <v>710</v>
      </c>
    </row>
    <row r="11" spans="1:21" ht="13.5" thickBot="1">
      <c r="A11" s="584" t="str">
        <f>IF(VLOOKUP(C11,'BD  Materiales y equipos'!$B$3:$F$190,1,FALSE())=C11,"CORRECTO","NO LISTADO")</f>
        <v>CORRECTO</v>
      </c>
      <c r="B11" s="147" t="s">
        <v>411</v>
      </c>
      <c r="C11" s="147" t="s">
        <v>787</v>
      </c>
      <c r="D11" s="191" t="str">
        <f>VLOOKUP(C11,'BD  Materiales y equipos'!$B$3:$F$190,2,FALSE())</f>
        <v>Unidad</v>
      </c>
      <c r="E11" s="191" t="str">
        <f>VLOOKUP(C11,'BD  Materiales y equipos'!$B$3:$F$190,3,FALSE())</f>
        <v>STD</v>
      </c>
      <c r="F11" s="191">
        <f>VLOOKUP(C11,'BD  Materiales y equipos'!$B$3:$F$190,4,FALSE())</f>
        <v>0</v>
      </c>
      <c r="G11" s="133">
        <v>2</v>
      </c>
      <c r="H11" s="194">
        <f>VLOOKUP(C11,'BD  Materiales y equipos'!$B$3:$I$190,8,FALSE())*G11</f>
        <v>14.537938933004547</v>
      </c>
      <c r="I11" s="194">
        <f t="shared" si="2"/>
        <v>547.42827576844923</v>
      </c>
      <c r="J11" s="483">
        <f t="shared" si="3"/>
        <v>181.82611964305471</v>
      </c>
      <c r="K11" s="191" t="str">
        <f>VLOOKUP(C11,'BD  Materiales y equipos'!$B$3:$L$190,11,FALSE())</f>
        <v>IMPORTADO</v>
      </c>
      <c r="L11" s="436">
        <f t="shared" si="0"/>
        <v>1</v>
      </c>
      <c r="M11" s="421">
        <f t="shared" si="1"/>
        <v>1</v>
      </c>
      <c r="N11" s="194">
        <f>VLOOKUP(C11,'BD  Materiales y equipos'!$B$3:$K$190,9,FALSE())*0.811905633063426</f>
        <v>37.655150313340364</v>
      </c>
      <c r="O11" s="483">
        <f>VLOOKUP(C11,'BD  Materiales y equipos'!$B$3:$K$190,10,FALSE())*1.14265904837007</f>
        <v>12.50700807597056</v>
      </c>
      <c r="S11">
        <v>674.25111179846215</v>
      </c>
      <c r="T11">
        <v>674.25111179846215</v>
      </c>
      <c r="U11" t="s">
        <v>710</v>
      </c>
    </row>
    <row r="12" spans="1:21" ht="13.5" thickBot="1">
      <c r="A12" s="584" t="str">
        <f>IF(VLOOKUP(C12,'BD  Materiales y equipos'!$B$3:$F$190,1,FALSE())=C12,"CORRECTO","NO LISTADO")</f>
        <v>CORRECTO</v>
      </c>
      <c r="B12" s="147" t="s">
        <v>411</v>
      </c>
      <c r="C12" s="147" t="s">
        <v>788</v>
      </c>
      <c r="D12" s="191" t="str">
        <f>VLOOKUP(C12,'BD  Materiales y equipos'!$B$3:$F$190,2,FALSE())</f>
        <v>Unidad</v>
      </c>
      <c r="E12" s="191" t="str">
        <f>VLOOKUP(C12,'BD  Materiales y equipos'!$B$3:$F$190,3,FALSE())</f>
        <v>STD</v>
      </c>
      <c r="F12" s="191">
        <f>VLOOKUP(C12,'BD  Materiales y equipos'!$B$3:$F$190,4,FALSE())</f>
        <v>0</v>
      </c>
      <c r="G12" s="133">
        <v>2</v>
      </c>
      <c r="H12" s="194">
        <f>VLOOKUP(C12,'BD  Materiales y equipos'!$B$3:$I$190,8,FALSE())*G12</f>
        <v>9.1535171059658254</v>
      </c>
      <c r="I12" s="194">
        <f t="shared" si="2"/>
        <v>480.44541456086603</v>
      </c>
      <c r="J12" s="483">
        <f t="shared" si="3"/>
        <v>106.00288182208303</v>
      </c>
      <c r="K12" s="191" t="str">
        <f>VLOOKUP(C12,'BD  Materiales y equipos'!$B$3:$L$190,11,FALSE())</f>
        <v>IMPORTADO</v>
      </c>
      <c r="L12" s="436">
        <f t="shared" si="0"/>
        <v>1</v>
      </c>
      <c r="M12" s="421">
        <f t="shared" si="1"/>
        <v>1</v>
      </c>
      <c r="N12" s="194">
        <f>VLOOKUP(C12,'BD  Materiales y equipos'!$B$3:$K$190,9,FALSE())*0.811905633063426</f>
        <v>52.487520261226656</v>
      </c>
      <c r="O12" s="483">
        <f>VLOOKUP(C12,'BD  Materiales y equipos'!$B$3:$K$190,10,FALSE())*1.14265904837007</f>
        <v>11.580563033306117</v>
      </c>
      <c r="S12">
        <v>591.75031554847419</v>
      </c>
      <c r="T12">
        <v>591.75031554847419</v>
      </c>
      <c r="U12" t="s">
        <v>710</v>
      </c>
    </row>
    <row r="13" spans="1:21" ht="13.5" thickBot="1">
      <c r="A13" s="584" t="str">
        <f>IF(VLOOKUP(C13,'BD  Materiales y equipos'!$B$3:$F$190,1,FALSE())=C13,"CORRECTO","NO LISTADO")</f>
        <v>CORRECTO</v>
      </c>
      <c r="B13" s="147" t="s">
        <v>411</v>
      </c>
      <c r="C13" s="147" t="s">
        <v>789</v>
      </c>
      <c r="D13" s="191" t="str">
        <f>VLOOKUP(C13,'BD  Materiales y equipos'!$B$3:$F$190,2,FALSE())</f>
        <v>Junta</v>
      </c>
      <c r="E13" s="191">
        <f>VLOOKUP(C13,'BD  Materiales y equipos'!$B$3:$F$190,3,FALSE())</f>
        <v>0</v>
      </c>
      <c r="F13" s="191" t="str">
        <f>VLOOKUP(C13,'BD  Materiales y equipos'!$B$3:$F$190,4,FALSE())</f>
        <v>300#</v>
      </c>
      <c r="G13" s="133">
        <v>36</v>
      </c>
      <c r="H13" s="194">
        <f>VLOOKUP(C13,'BD  Materiales y equipos'!$B$3:$I$190,8,FALSE())*G13</f>
        <v>87.227633598027268</v>
      </c>
      <c r="I13" s="194">
        <f t="shared" si="2"/>
        <v>45.6980596133495</v>
      </c>
      <c r="J13" s="483">
        <f t="shared" si="3"/>
        <v>0</v>
      </c>
      <c r="K13" s="191" t="str">
        <f>VLOOKUP(C13,'BD  Materiales y equipos'!$B$3:$L$190,11,FALSE())</f>
        <v>IMPORTADO</v>
      </c>
      <c r="L13" s="436">
        <f t="shared" si="0"/>
        <v>1</v>
      </c>
      <c r="M13" s="421">
        <f t="shared" si="1"/>
        <v>1</v>
      </c>
      <c r="N13" s="194">
        <f>VLOOKUP(C13,'BD  Materiales y equipos'!$B$3:$K$190,9,FALSE())*0.811905633063426</f>
        <v>0.5238942950572375</v>
      </c>
      <c r="O13" s="483">
        <f>VLOOKUP(C13,'BD  Materiales y equipos'!$B$3:$K$190,10,FALSE())*1.14265904837007</f>
        <v>0</v>
      </c>
      <c r="S13">
        <v>56.284939717593474</v>
      </c>
      <c r="T13">
        <v>56.284939717593474</v>
      </c>
      <c r="U13" t="s">
        <v>710</v>
      </c>
    </row>
    <row r="14" spans="1:21" ht="13.5" thickBot="1">
      <c r="A14" s="584" t="str">
        <f>IF(VLOOKUP(C14,'BD  Materiales y equipos'!$B$3:$F$190,1,FALSE())=C14,"CORRECTO","NO LISTADO")</f>
        <v>CORRECTO</v>
      </c>
      <c r="B14" s="147" t="s">
        <v>411</v>
      </c>
      <c r="C14" s="147" t="s">
        <v>790</v>
      </c>
      <c r="D14" s="191" t="str">
        <f>VLOOKUP(C14,'BD  Materiales y equipos'!$B$3:$F$190,2,FALSE())</f>
        <v>Unidad</v>
      </c>
      <c r="E14" s="191">
        <f>VLOOKUP(C14,'BD  Materiales y equipos'!$B$3:$F$190,3,FALSE())</f>
        <v>0</v>
      </c>
      <c r="F14" s="191" t="str">
        <f>VLOOKUP(C14,'BD  Materiales y equipos'!$B$3:$F$190,4,FALSE())</f>
        <v>300#</v>
      </c>
      <c r="G14" s="133">
        <v>36</v>
      </c>
      <c r="H14" s="194">
        <f>VLOOKUP(C14,'BD  Materiales y equipos'!$B$3:$I$190,8,FALSE())*G14</f>
        <v>16.025334523378937</v>
      </c>
      <c r="I14" s="194">
        <f t="shared" si="2"/>
        <v>78.066356227542911</v>
      </c>
      <c r="J14" s="483">
        <f t="shared" si="3"/>
        <v>0</v>
      </c>
      <c r="K14" s="191" t="str">
        <f>VLOOKUP(C14,'BD  Materiales y equipos'!$B$3:$L$190,11,FALSE())</f>
        <v>IMPORTADO</v>
      </c>
      <c r="L14" s="436">
        <f t="shared" si="0"/>
        <v>1</v>
      </c>
      <c r="M14" s="421">
        <f t="shared" si="1"/>
        <v>1</v>
      </c>
      <c r="N14" s="194">
        <f>VLOOKUP(C14,'BD  Materiales y equipos'!$B$3:$K$190,9,FALSE())*0.811905633063426</f>
        <v>4.871433798380556</v>
      </c>
      <c r="O14" s="483">
        <f>VLOOKUP(C14,'BD  Materiales y equipos'!$B$3:$K$190,10,FALSE())*1.14265904837007</f>
        <v>0</v>
      </c>
      <c r="S14">
        <v>96.152007140273625</v>
      </c>
      <c r="T14">
        <v>96.152007140273625</v>
      </c>
      <c r="U14" t="s">
        <v>710</v>
      </c>
    </row>
    <row r="15" spans="1:21" ht="13.5" thickBot="1">
      <c r="A15" s="584" t="str">
        <f>IF(VLOOKUP(C15,'BD  Materiales y equipos'!$B$3:$F$190,1,FALSE())=C15,"CORRECTO","NO LISTADO")</f>
        <v>CORRECTO</v>
      </c>
      <c r="B15" s="147" t="s">
        <v>411</v>
      </c>
      <c r="C15" s="147" t="s">
        <v>791</v>
      </c>
      <c r="D15" s="191" t="str">
        <f>VLOOKUP(C15,'BD  Materiales y equipos'!$B$3:$F$190,2,FALSE())</f>
        <v>Global</v>
      </c>
      <c r="E15" s="191">
        <f>VLOOKUP(C15,'BD  Materiales y equipos'!$B$3:$F$190,3,FALSE())</f>
        <v>0</v>
      </c>
      <c r="F15" s="191">
        <f>VLOOKUP(C15,'BD  Materiales y equipos'!$B$3:$F$190,4,FALSE())</f>
        <v>0</v>
      </c>
      <c r="G15" s="133">
        <v>1</v>
      </c>
      <c r="H15" s="194">
        <f>VLOOKUP(C15,'BD  Materiales y equipos'!$B$3:$I$190,8,FALSE())*G15</f>
        <v>69.146350813838751</v>
      </c>
      <c r="I15" s="194">
        <f t="shared" si="2"/>
        <v>785.19170386725443</v>
      </c>
      <c r="J15" s="483">
        <f t="shared" si="3"/>
        <v>0</v>
      </c>
      <c r="K15" s="191" t="str">
        <f>VLOOKUP(C15,'BD  Materiales y equipos'!$B$3:$L$190,11,FALSE())</f>
        <v>NACIONAL</v>
      </c>
      <c r="L15" s="436">
        <f>+acero/acero_base</f>
        <v>1</v>
      </c>
      <c r="M15" s="421">
        <f t="shared" si="1"/>
        <v>1</v>
      </c>
      <c r="N15" s="194">
        <f>VLOOKUP(C15,'BD  Materiales y equipos'!$B$3:$K$190,9,FALSE())*0.811905633063426</f>
        <v>11.355504587381761</v>
      </c>
      <c r="O15" s="483">
        <f>VLOOKUP(C15,'BD  Materiales y equipos'!$B$3:$K$190,10,FALSE())*1.14265904837007</f>
        <v>0</v>
      </c>
      <c r="S15">
        <v>967.09724861080667</v>
      </c>
      <c r="T15">
        <v>967.09724861080667</v>
      </c>
      <c r="U15" t="s">
        <v>738</v>
      </c>
    </row>
    <row r="16" spans="1:21" ht="13.5" thickBot="1">
      <c r="A16" s="584" t="str">
        <f>IF(VLOOKUP(C16,'BD  Materiales y equipos'!$B$3:$F$190,1,FALSE())=C16,"CORRECTO","NO LISTADO")</f>
        <v>CORRECTO</v>
      </c>
      <c r="B16" s="147" t="s">
        <v>411</v>
      </c>
      <c r="C16" s="147" t="s">
        <v>792</v>
      </c>
      <c r="D16" s="191" t="str">
        <f>VLOOKUP(C16,'BD  Materiales y equipos'!$B$3:$F$190,2,FALSE())</f>
        <v>Unidad</v>
      </c>
      <c r="E16" s="191">
        <f>VLOOKUP(C16,'BD  Materiales y equipos'!$B$3:$F$190,3,FALSE())</f>
        <v>0</v>
      </c>
      <c r="F16" s="191" t="str">
        <f>VLOOKUP(C16,'BD  Materiales y equipos'!$B$3:$F$190,4,FALSE())</f>
        <v>300#</v>
      </c>
      <c r="G16" s="133">
        <v>5</v>
      </c>
      <c r="H16" s="194">
        <f>VLOOKUP(C16,'BD  Materiales y equipos'!$B$3:$I$190,8,FALSE())*G16</f>
        <v>592.04708100261075</v>
      </c>
      <c r="I16" s="194">
        <f t="shared" si="2"/>
        <v>5753.196162281497</v>
      </c>
      <c r="J16" s="483">
        <f t="shared" si="3"/>
        <v>3292.5940652751833</v>
      </c>
      <c r="K16" s="191" t="str">
        <f>VLOOKUP(C16,'BD  Materiales y equipos'!$B$3:$L$190,11,FALSE())</f>
        <v>IMPORTADO</v>
      </c>
      <c r="L16" s="436">
        <f t="shared" si="0"/>
        <v>1</v>
      </c>
      <c r="M16" s="421">
        <f t="shared" si="1"/>
        <v>1</v>
      </c>
      <c r="N16" s="194">
        <f>VLOOKUP(C16,'BD  Materiales y equipos'!$B$3:$K$190,9,FALSE())*0.811905633063426</f>
        <v>9.7174639431355079</v>
      </c>
      <c r="O16" s="483">
        <f>VLOOKUP(C16,'BD  Materiales y equipos'!$B$3:$K$190,10,FALSE())*1.14265904837007</f>
        <v>5.5613720106503894</v>
      </c>
      <c r="S16">
        <v>7086.0404559258168</v>
      </c>
      <c r="T16">
        <v>7086.0404559258168</v>
      </c>
      <c r="U16" t="s">
        <v>710</v>
      </c>
    </row>
    <row r="17" spans="1:21" ht="13.5" thickBot="1">
      <c r="A17" s="584" t="str">
        <f>IF(VLOOKUP(C17,'BD  Materiales y equipos'!$B$3:$F$190,1,FALSE())=C17,"CORRECTO","NO LISTADO")</f>
        <v>CORRECTO</v>
      </c>
      <c r="B17" s="147" t="s">
        <v>411</v>
      </c>
      <c r="C17" s="147" t="s">
        <v>741</v>
      </c>
      <c r="D17" s="191" t="str">
        <f>VLOOKUP(C17,'BD  Materiales y equipos'!$B$3:$F$190,2,FALSE())</f>
        <v>Unidad</v>
      </c>
      <c r="E17" s="191">
        <f>VLOOKUP(C17,'BD  Materiales y equipos'!$B$3:$F$190,3,FALSE())</f>
        <v>0</v>
      </c>
      <c r="F17" s="191" t="str">
        <f>VLOOKUP(C17,'BD  Materiales y equipos'!$B$3:$F$190,4,FALSE())</f>
        <v>150#</v>
      </c>
      <c r="G17" s="133">
        <v>4</v>
      </c>
      <c r="H17" s="194">
        <f>VLOOKUP(C17,'BD  Materiales y equipos'!$B$3:$I$190,8,FALSE())*G17</f>
        <v>52.230719928049872</v>
      </c>
      <c r="I17" s="194">
        <f t="shared" si="2"/>
        <v>359.36555072836302</v>
      </c>
      <c r="J17" s="483">
        <f t="shared" si="3"/>
        <v>386.8925249486594</v>
      </c>
      <c r="K17" s="191" t="str">
        <f>VLOOKUP(C17,'BD  Materiales y equipos'!$B$3:$L$190,11,FALSE())</f>
        <v>IMPORTADO</v>
      </c>
      <c r="L17" s="436">
        <f t="shared" si="0"/>
        <v>1</v>
      </c>
      <c r="M17" s="421">
        <f t="shared" si="1"/>
        <v>1</v>
      </c>
      <c r="N17" s="194">
        <f>VLOOKUP(C17,'BD  Materiales y equipos'!$B$3:$K$190,9,FALSE())*0.811905633063426</f>
        <v>6.8803484084348243</v>
      </c>
      <c r="O17" s="483">
        <f>VLOOKUP(C17,'BD  Materiales y equipos'!$B$3:$K$190,10,FALSE())*1.14265904837007</f>
        <v>7.4073749219160865</v>
      </c>
      <c r="S17">
        <v>442.61985148745651</v>
      </c>
      <c r="T17">
        <v>442.61985148745651</v>
      </c>
      <c r="U17" t="s">
        <v>710</v>
      </c>
    </row>
    <row r="18" spans="1:21" ht="13.5" thickBot="1">
      <c r="A18" s="584" t="str">
        <f>IF(VLOOKUP(C18,'BD  Materiales y equipos'!$B$3:$F$190,1,FALSE())=C18,"CORRECTO","NO LISTADO")</f>
        <v>CORRECTO</v>
      </c>
      <c r="B18" s="147" t="s">
        <v>411</v>
      </c>
      <c r="C18" s="147" t="s">
        <v>742</v>
      </c>
      <c r="D18" s="191" t="str">
        <f>VLOOKUP(C18,'BD  Materiales y equipos'!$B$3:$F$190,2,FALSE())</f>
        <v>Unidad</v>
      </c>
      <c r="E18" s="191">
        <f>VLOOKUP(C18,'BD  Materiales y equipos'!$B$3:$F$190,3,FALSE())</f>
        <v>0</v>
      </c>
      <c r="F18" s="191" t="str">
        <f>VLOOKUP(C18,'BD  Materiales y equipos'!$B$3:$F$190,4,FALSE())</f>
        <v>150#</v>
      </c>
      <c r="G18" s="133">
        <v>8</v>
      </c>
      <c r="H18" s="194">
        <f>VLOOKUP(C18,'BD  Materiales y equipos'!$B$3:$I$190,8,FALSE())*G18</f>
        <v>35.61185449639764</v>
      </c>
      <c r="I18" s="194">
        <f t="shared" si="2"/>
        <v>422.67738508773442</v>
      </c>
      <c r="J18" s="483">
        <f t="shared" si="3"/>
        <v>263.7903579195405</v>
      </c>
      <c r="K18" s="191" t="str">
        <f>VLOOKUP(C18,'BD  Materiales y equipos'!$B$3:$L$190,11,FALSE())</f>
        <v>IMPORTADO</v>
      </c>
      <c r="L18" s="436">
        <f t="shared" si="0"/>
        <v>1</v>
      </c>
      <c r="M18" s="421">
        <f t="shared" si="1"/>
        <v>1</v>
      </c>
      <c r="N18" s="194">
        <f>VLOOKUP(C18,'BD  Materiales y equipos'!$B$3:$K$190,9,FALSE())*0.811905633063426</f>
        <v>11.869007976837905</v>
      </c>
      <c r="O18" s="483">
        <f>VLOOKUP(C18,'BD  Materiales y equipos'!$B$3:$K$190,10,FALSE())*1.14265904837007</f>
        <v>7.4073749219160865</v>
      </c>
      <c r="S18">
        <v>520.59915324508518</v>
      </c>
      <c r="T18">
        <v>520.59915324508518</v>
      </c>
      <c r="U18" t="s">
        <v>710</v>
      </c>
    </row>
    <row r="19" spans="1:21" ht="13.5" thickBot="1">
      <c r="A19" s="584" t="str">
        <f>IF(VLOOKUP(C19,'BD  Materiales y equipos'!$B$3:$F$190,1,FALSE())=C19,"CORRECTO","NO LISTADO")</f>
        <v>CORRECTO</v>
      </c>
      <c r="B19" s="147" t="s">
        <v>411</v>
      </c>
      <c r="C19" s="147" t="s">
        <v>793</v>
      </c>
      <c r="D19" s="191" t="str">
        <f>VLOOKUP(C19,'BD  Materiales y equipos'!$B$3:$F$190,2,FALSE())</f>
        <v>Unidad</v>
      </c>
      <c r="E19" s="191">
        <f>VLOOKUP(C19,'BD  Materiales y equipos'!$B$3:$F$190,3,FALSE())</f>
        <v>0</v>
      </c>
      <c r="F19" s="191">
        <f>VLOOKUP(C19,'BD  Materiales y equipos'!$B$3:$F$190,4,FALSE())</f>
        <v>0</v>
      </c>
      <c r="G19" s="133">
        <v>5</v>
      </c>
      <c r="H19" s="194">
        <f>VLOOKUP(C19,'BD  Materiales y equipos'!$B$3:$I$190,8,FALSE())*G19</f>
        <v>103.86790894782646</v>
      </c>
      <c r="I19" s="194">
        <f t="shared" si="2"/>
        <v>9523.4930959004578</v>
      </c>
      <c r="J19" s="483">
        <f t="shared" si="3"/>
        <v>6799.4983674256191</v>
      </c>
      <c r="K19" s="191" t="str">
        <f>VLOOKUP(C19,'BD  Materiales y equipos'!$B$3:$L$190,11,FALSE())</f>
        <v>IMPORTADO</v>
      </c>
      <c r="L19" s="436">
        <f t="shared" si="0"/>
        <v>1</v>
      </c>
      <c r="M19" s="421">
        <f t="shared" si="1"/>
        <v>1</v>
      </c>
      <c r="N19" s="194">
        <f>VLOOKUP(C19,'BD  Materiales y equipos'!$B$3:$K$190,9,FALSE())*0.811905633063426</f>
        <v>91.688503141852706</v>
      </c>
      <c r="O19" s="483">
        <f>VLOOKUP(C19,'BD  Materiales y equipos'!$B$3:$K$190,10,FALSE())*1.14265904837007</f>
        <v>65.462936881121308</v>
      </c>
      <c r="S19">
        <v>11729.802957478043</v>
      </c>
      <c r="T19">
        <v>11729.802957478043</v>
      </c>
      <c r="U19" t="s">
        <v>710</v>
      </c>
    </row>
    <row r="20" spans="1:21" ht="13.5" thickBot="1">
      <c r="A20" s="584" t="str">
        <f>IF(VLOOKUP(C20,'BD  Materiales y equipos'!$B$3:$F$190,1,FALSE())=C20,"CORRECTO","NO LISTADO")</f>
        <v>CORRECTO</v>
      </c>
      <c r="B20" s="147" t="s">
        <v>412</v>
      </c>
      <c r="C20" s="147" t="s">
        <v>794</v>
      </c>
      <c r="D20" s="191" t="str">
        <f>VLOOKUP(C20,'BD  Materiales y equipos'!$B$3:$F$190,2,FALSE())</f>
        <v>Unidad</v>
      </c>
      <c r="E20" s="191">
        <f>VLOOKUP(C20,'BD  Materiales y equipos'!$B$3:$F$190,3,FALSE())</f>
        <v>0</v>
      </c>
      <c r="F20" s="191" t="str">
        <f>VLOOKUP(C20,'BD  Materiales y equipos'!$B$3:$F$190,4,FALSE())</f>
        <v>300#</v>
      </c>
      <c r="G20" s="133">
        <v>2</v>
      </c>
      <c r="H20" s="194">
        <f>VLOOKUP(C20,'BD  Materiales y equipos'!$B$3:$I$190,8,FALSE())*G20</f>
        <v>47.482472661863525</v>
      </c>
      <c r="I20" s="194">
        <f t="shared" si="2"/>
        <v>15001.608617927905</v>
      </c>
      <c r="J20" s="483">
        <f t="shared" si="3"/>
        <v>3659.3732072338726</v>
      </c>
      <c r="K20" s="191" t="str">
        <f>VLOOKUP(C20,'BD  Materiales y equipos'!$B$3:$L$190,11,FALSE())</f>
        <v>IMPORTADO</v>
      </c>
      <c r="L20" s="436">
        <f t="shared" si="0"/>
        <v>1</v>
      </c>
      <c r="M20" s="421">
        <f t="shared" si="1"/>
        <v>1</v>
      </c>
      <c r="N20" s="194">
        <f>VLOOKUP(C20,'BD  Materiales y equipos'!$B$3:$K$190,9,FALSE())*0.811905633063426</f>
        <v>315.93992007869338</v>
      </c>
      <c r="O20" s="483">
        <f>VLOOKUP(C20,'BD  Materiales y equipos'!$B$3:$K$190,10,FALSE())*1.14265904837007</f>
        <v>77.067873724549514</v>
      </c>
      <c r="S20">
        <v>18477.034777212812</v>
      </c>
      <c r="T20">
        <v>18477.034777212812</v>
      </c>
      <c r="U20" t="s">
        <v>710</v>
      </c>
    </row>
    <row r="21" spans="1:21" ht="13.5" thickBot="1">
      <c r="A21" s="584" t="str">
        <f>IF(VLOOKUP(C21,'BD  Materiales y equipos'!$B$3:$F$190,1,FALSE())=C21,"CORRECTO","NO LISTADO")</f>
        <v>CORRECTO</v>
      </c>
      <c r="B21" s="147" t="s">
        <v>412</v>
      </c>
      <c r="C21" s="147" t="s">
        <v>795</v>
      </c>
      <c r="D21" s="191" t="str">
        <f>VLOOKUP(C21,'BD  Materiales y equipos'!$B$3:$F$190,2,FALSE())</f>
        <v>Unidad</v>
      </c>
      <c r="E21" s="191">
        <f>VLOOKUP(C21,'BD  Materiales y equipos'!$B$3:$F$190,3,FALSE())</f>
        <v>0</v>
      </c>
      <c r="F21" s="191" t="str">
        <f>VLOOKUP(C21,'BD  Materiales y equipos'!$B$3:$F$190,4,FALSE())</f>
        <v>300#</v>
      </c>
      <c r="G21" s="133">
        <v>2</v>
      </c>
      <c r="H21" s="194">
        <f>VLOOKUP(C21,'BD  Materiales y equipos'!$B$3:$I$190,8,FALSE())*G21</f>
        <v>41.547163579130583</v>
      </c>
      <c r="I21" s="194">
        <f t="shared" si="2"/>
        <v>634.65056266465399</v>
      </c>
      <c r="J21" s="483">
        <f t="shared" si="3"/>
        <v>390.36020768756174</v>
      </c>
      <c r="K21" s="191" t="str">
        <f>VLOOKUP(C21,'BD  Materiales y equipos'!$B$3:$L$190,11,FALSE())</f>
        <v>IMPORTADO</v>
      </c>
      <c r="L21" s="436">
        <f t="shared" si="0"/>
        <v>1</v>
      </c>
      <c r="M21" s="421">
        <f t="shared" si="1"/>
        <v>1</v>
      </c>
      <c r="N21" s="194">
        <f>VLOOKUP(C21,'BD  Materiales y equipos'!$B$3:$K$190,9,FALSE())*0.811905633063426</f>
        <v>15.275424553493302</v>
      </c>
      <c r="O21" s="483">
        <f>VLOOKUP(C21,'BD  Materiales y equipos'!$B$3:$K$190,10,FALSE())*1.14265904837007</f>
        <v>9.3955922392652163</v>
      </c>
      <c r="S21">
        <v>781.68020619592767</v>
      </c>
      <c r="T21">
        <v>781.68020619592767</v>
      </c>
      <c r="U21" t="s">
        <v>710</v>
      </c>
    </row>
    <row r="22" spans="1:21" ht="13.5" thickBot="1">
      <c r="A22" s="584" t="str">
        <f>IF(VLOOKUP(C22,'BD  Materiales y equipos'!$B$3:$F$190,1,FALSE())=C22,"CORRECTO","NO LISTADO")</f>
        <v>CORRECTO</v>
      </c>
      <c r="B22" s="147" t="s">
        <v>412</v>
      </c>
      <c r="C22" s="147" t="s">
        <v>796</v>
      </c>
      <c r="D22" s="191" t="str">
        <f>VLOOKUP(C22,'BD  Materiales y equipos'!$B$3:$F$190,2,FALSE())</f>
        <v>Unidad</v>
      </c>
      <c r="E22" s="191">
        <f>VLOOKUP(C22,'BD  Materiales y equipos'!$B$3:$F$190,3,FALSE())</f>
        <v>0</v>
      </c>
      <c r="F22" s="191" t="str">
        <f>VLOOKUP(C22,'BD  Materiales y equipos'!$B$3:$F$190,4,FALSE())</f>
        <v>300#</v>
      </c>
      <c r="G22" s="133">
        <v>2</v>
      </c>
      <c r="H22" s="194">
        <f>VLOOKUP(C22,'BD  Materiales y equipos'!$B$3:$I$190,8,FALSE())*G22</f>
        <v>17.80592724819882</v>
      </c>
      <c r="I22" s="194">
        <f t="shared" si="2"/>
        <v>1784.5595268890743</v>
      </c>
      <c r="J22" s="483">
        <f t="shared" si="3"/>
        <v>330.3104657255015</v>
      </c>
      <c r="K22" s="191" t="str">
        <f>VLOOKUP(C22,'BD  Materiales y equipos'!$B$3:$L$190,11,FALSE())</f>
        <v>IMPORTADO</v>
      </c>
      <c r="L22" s="436">
        <f>ppi_usa_medidores/ppi_usa_medidores_base</f>
        <v>1</v>
      </c>
      <c r="M22" s="421">
        <f t="shared" si="1"/>
        <v>1</v>
      </c>
      <c r="N22" s="194">
        <f>VLOOKUP(C22,'BD  Materiales y equipos'!$B$3:$K$190,9,FALSE())*1.1427911045044</f>
        <v>100.22277986503587</v>
      </c>
      <c r="O22" s="483">
        <f>VLOOKUP(C22,'BD  Materiales y equipos'!$B$3:$K$190,10,FALSE())*1.14265904837007</f>
        <v>18.550590548937262</v>
      </c>
      <c r="P22" s="70"/>
      <c r="S22">
        <v>1561.5798196670366</v>
      </c>
      <c r="T22">
        <v>1561.5798196670366</v>
      </c>
      <c r="U22" t="s">
        <v>710</v>
      </c>
    </row>
    <row r="23" spans="1:21" ht="13.5" thickBot="1">
      <c r="A23" s="585" t="str">
        <f>IF(VLOOKUP(C23,'BD  Materiales y equipos'!$B$3:$F$190,1,FALSE())=C23,"CORRECTO","NO LISTADO")</f>
        <v>CORRECTO</v>
      </c>
      <c r="B23" s="586" t="s">
        <v>412</v>
      </c>
      <c r="C23" s="586" t="s">
        <v>797</v>
      </c>
      <c r="D23" s="587" t="str">
        <f>VLOOKUP(C23,'BD  Materiales y equipos'!$B$3:$F$190,2,FALSE())</f>
        <v>Unidad</v>
      </c>
      <c r="E23" s="587">
        <f>VLOOKUP(C23,'BD  Materiales y equipos'!$B$3:$F$190,3,FALSE())</f>
        <v>0</v>
      </c>
      <c r="F23" s="587">
        <f>VLOOKUP(C23,'BD  Materiales y equipos'!$B$3:$F$190,4,FALSE())</f>
        <v>0</v>
      </c>
      <c r="G23" s="599">
        <v>2</v>
      </c>
      <c r="H23" s="589">
        <f>VLOOKUP(C23,'BD  Materiales y equipos'!$B$3:$I$190,8,FALSE())*G23</f>
        <v>2</v>
      </c>
      <c r="I23" s="589">
        <f t="shared" si="2"/>
        <v>103683.15132947519</v>
      </c>
      <c r="J23" s="617">
        <f t="shared" si="3"/>
        <v>76329.624431120683</v>
      </c>
      <c r="K23" s="587" t="str">
        <f>VLOOKUP(C23,'BD  Materiales y equipos'!$B$3:$L$190,11,FALSE())</f>
        <v>IMPORTADO</v>
      </c>
      <c r="L23" s="436">
        <f>ppi_usa_medidores/ppi_usa_medidores_base</f>
        <v>1</v>
      </c>
      <c r="M23" s="421">
        <f t="shared" si="1"/>
        <v>1</v>
      </c>
      <c r="N23" s="589">
        <f>VLOOKUP(C23,'BD  Materiales y equipos'!$B$3:$K$190,9,FALSE())*1.1427911045044</f>
        <v>51841.575664737597</v>
      </c>
      <c r="O23" s="617">
        <f>VLOOKUP(C23,'BD  Materiales y equipos'!$B$3:$K$190,10,FALSE())*1.14265904837007</f>
        <v>38164.812215560341</v>
      </c>
      <c r="S23">
        <v>90728</v>
      </c>
      <c r="T23">
        <v>90728</v>
      </c>
      <c r="U23" t="s">
        <v>710</v>
      </c>
    </row>
    <row r="25" spans="1:21">
      <c r="I25" s="403"/>
      <c r="J25" s="403"/>
    </row>
  </sheetData>
  <conditionalFormatting sqref="A2:A23">
    <cfRule type="cellIs" dxfId="19" priority="2" operator="equal">
      <formula>"CORRECTO"</formula>
    </cfRule>
    <cfRule type="cellIs" dxfId="18" priority="3" operator="notEqual">
      <formula>"CORRECTO"</formula>
    </cfRule>
  </conditionalFormatting>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2:AF54"/>
  <sheetViews>
    <sheetView showGridLines="0" topLeftCell="O1" zoomScale="87" zoomScaleNormal="87" workbookViewId="0">
      <selection activeCell="T13" sqref="T13"/>
    </sheetView>
  </sheetViews>
  <sheetFormatPr baseColWidth="10" defaultColWidth="9.140625" defaultRowHeight="15"/>
  <cols>
    <col min="1" max="1" width="2" customWidth="1"/>
    <col min="6" max="7" width="11.85546875" bestFit="1" customWidth="1"/>
    <col min="10" max="11" width="11.85546875" bestFit="1" customWidth="1"/>
    <col min="12" max="12" width="2.7109375" customWidth="1"/>
    <col min="13" max="13" width="25.42578125" customWidth="1"/>
    <col min="14" max="14" width="24.42578125" customWidth="1"/>
    <col min="15" max="15" width="18.85546875" customWidth="1"/>
    <col min="16" max="16" width="35.42578125" customWidth="1"/>
    <col min="17" max="17" width="52.140625" bestFit="1" customWidth="1"/>
    <col min="18" max="18" width="19.42578125" customWidth="1"/>
    <col min="19" max="19" width="17.85546875" customWidth="1"/>
    <col min="20" max="20" width="9" customWidth="1"/>
    <col min="21" max="21" width="35.85546875" customWidth="1"/>
    <col min="22" max="22" width="17.140625" customWidth="1"/>
    <col min="23" max="23" width="13.85546875" style="34" customWidth="1"/>
    <col min="24" max="24" width="14.42578125" customWidth="1"/>
    <col min="25" max="25" width="15.28515625" customWidth="1"/>
    <col min="26" max="28" width="11.42578125" customWidth="1"/>
    <col min="29" max="29" width="20.7109375" customWidth="1"/>
    <col min="30" max="30" width="45.140625" customWidth="1"/>
    <col min="31" max="31" width="64.42578125" customWidth="1"/>
    <col min="32" max="32" width="24.28515625" customWidth="1"/>
    <col min="33" max="35" width="20.7109375" customWidth="1"/>
    <col min="36" max="1036" width="11.42578125" customWidth="1"/>
  </cols>
  <sheetData>
    <row r="2" spans="2:32" ht="39.75" customHeight="1">
      <c r="B2" s="485" t="s">
        <v>10</v>
      </c>
      <c r="C2" s="486"/>
      <c r="D2" s="486"/>
      <c r="E2" s="486"/>
      <c r="F2" s="486"/>
      <c r="G2" s="486"/>
      <c r="H2" s="486"/>
      <c r="I2" s="486"/>
      <c r="J2" s="486"/>
      <c r="K2" s="487"/>
      <c r="N2" s="35" t="s">
        <v>11</v>
      </c>
      <c r="O2" s="36"/>
      <c r="P2" s="36"/>
      <c r="Q2" s="36"/>
      <c r="R2" s="37"/>
    </row>
    <row r="3" spans="2:32" ht="17.25" customHeight="1">
      <c r="B3" s="486"/>
      <c r="C3" s="486"/>
      <c r="D3" s="486"/>
      <c r="E3" s="486"/>
      <c r="F3" s="486"/>
      <c r="G3" s="486"/>
      <c r="H3" s="486"/>
      <c r="I3" s="486"/>
      <c r="J3" s="486"/>
      <c r="K3" s="487"/>
      <c r="M3" s="36"/>
      <c r="O3" s="36"/>
      <c r="P3" s="36"/>
      <c r="Q3" s="390" t="s">
        <v>12</v>
      </c>
      <c r="R3" s="37"/>
    </row>
    <row r="4" spans="2:32" ht="15.95" customHeight="1">
      <c r="B4" s="488" t="s">
        <v>13</v>
      </c>
      <c r="C4" s="486"/>
      <c r="D4" s="486"/>
      <c r="E4" s="486"/>
      <c r="F4" s="486" t="s">
        <v>14</v>
      </c>
      <c r="G4" s="486"/>
      <c r="H4" s="486"/>
      <c r="I4" s="486"/>
      <c r="J4" s="486"/>
      <c r="K4" s="487"/>
      <c r="M4" s="38"/>
      <c r="N4" s="38"/>
      <c r="O4" s="38"/>
      <c r="P4" s="39"/>
      <c r="Q4" s="41" t="s">
        <v>15</v>
      </c>
      <c r="W4" s="40"/>
      <c r="AF4" s="40"/>
    </row>
    <row r="5" spans="2:32" ht="15.95" customHeight="1">
      <c r="B5" s="486"/>
      <c r="C5" s="489" t="s">
        <v>16</v>
      </c>
      <c r="D5" s="486"/>
      <c r="E5" s="486"/>
      <c r="F5" s="661" t="b">
        <v>1</v>
      </c>
      <c r="G5" s="486"/>
      <c r="H5" s="486"/>
      <c r="I5" s="490" t="s">
        <v>17</v>
      </c>
      <c r="J5" s="486"/>
      <c r="K5" s="487"/>
      <c r="M5" s="38"/>
      <c r="N5" s="38"/>
      <c r="O5" s="38"/>
      <c r="P5" s="39"/>
      <c r="Q5" s="42" t="s">
        <v>18</v>
      </c>
      <c r="W5" s="40"/>
      <c r="AF5" s="40"/>
    </row>
    <row r="6" spans="2:32" ht="15.95" customHeight="1">
      <c r="B6" s="486"/>
      <c r="C6" s="489" t="s">
        <v>19</v>
      </c>
      <c r="D6" s="486"/>
      <c r="E6" s="486"/>
      <c r="F6" s="661" t="b">
        <v>1</v>
      </c>
      <c r="G6" s="486"/>
      <c r="H6" s="486"/>
      <c r="I6" s="486" t="s">
        <v>20</v>
      </c>
      <c r="J6" s="486"/>
      <c r="K6" s="663" t="b">
        <v>1</v>
      </c>
      <c r="M6" s="38"/>
      <c r="N6" s="38"/>
      <c r="O6" s="38"/>
      <c r="U6" s="43"/>
      <c r="V6" s="44"/>
      <c r="W6" s="40"/>
      <c r="AF6" s="40"/>
    </row>
    <row r="7" spans="2:32" ht="15.95" customHeight="1">
      <c r="B7" s="486"/>
      <c r="C7" s="489" t="s">
        <v>21</v>
      </c>
      <c r="D7" s="486"/>
      <c r="E7" s="486"/>
      <c r="F7" s="661" t="b">
        <v>1</v>
      </c>
      <c r="G7" s="486"/>
      <c r="H7" s="486"/>
      <c r="I7" s="486" t="s">
        <v>22</v>
      </c>
      <c r="J7" s="486"/>
      <c r="K7" s="663" t="b">
        <v>1</v>
      </c>
      <c r="W7" s="40"/>
      <c r="AE7" s="40"/>
      <c r="AF7" s="40"/>
    </row>
    <row r="8" spans="2:32" ht="15.95" customHeight="1">
      <c r="B8" s="486"/>
      <c r="C8" s="489" t="s">
        <v>23</v>
      </c>
      <c r="D8" s="486"/>
      <c r="E8" s="486"/>
      <c r="F8" s="661" t="b">
        <v>1</v>
      </c>
      <c r="G8" s="486"/>
      <c r="H8" s="486"/>
      <c r="I8" s="486"/>
      <c r="J8" s="486"/>
      <c r="K8" s="487"/>
      <c r="P8" s="498" t="s">
        <v>24</v>
      </c>
      <c r="Q8" s="499">
        <f>Indices!D18</f>
        <v>45627</v>
      </c>
      <c r="W8" s="40"/>
      <c r="AE8" s="40"/>
      <c r="AF8" s="40"/>
    </row>
    <row r="9" spans="2:32" ht="15.95" customHeight="1" thickBot="1">
      <c r="B9" s="486"/>
      <c r="C9" s="489" t="s">
        <v>25</v>
      </c>
      <c r="D9" s="486"/>
      <c r="E9" s="486"/>
      <c r="F9" s="661" t="b">
        <v>1</v>
      </c>
      <c r="G9" s="486"/>
      <c r="H9" s="486"/>
      <c r="I9" s="486"/>
      <c r="J9" s="486"/>
      <c r="K9" s="487"/>
      <c r="Q9" s="122"/>
      <c r="W9" s="40"/>
      <c r="AE9" s="40"/>
      <c r="AF9" s="40"/>
    </row>
    <row r="10" spans="2:32" ht="15.95" customHeight="1" thickBot="1">
      <c r="B10" s="486"/>
      <c r="C10" s="489" t="s">
        <v>26</v>
      </c>
      <c r="D10" s="486"/>
      <c r="E10" s="486"/>
      <c r="F10" s="661" t="b">
        <v>1</v>
      </c>
      <c r="G10" s="486"/>
      <c r="H10" s="486"/>
      <c r="I10" s="486"/>
      <c r="J10" s="486"/>
      <c r="K10" s="487"/>
      <c r="P10" s="45" t="s">
        <v>27</v>
      </c>
      <c r="Q10" s="500">
        <v>45627</v>
      </c>
      <c r="R10" s="393"/>
      <c r="W10" s="40"/>
      <c r="AE10" s="40"/>
      <c r="AF10" s="40"/>
    </row>
    <row r="11" spans="2:32" ht="15.95" customHeight="1">
      <c r="B11" s="486"/>
      <c r="C11" s="489" t="s">
        <v>28</v>
      </c>
      <c r="D11" s="486"/>
      <c r="E11" s="486"/>
      <c r="F11" s="661" t="b">
        <v>1</v>
      </c>
      <c r="G11" s="486"/>
      <c r="H11" s="486"/>
      <c r="I11" s="486"/>
      <c r="J11" s="486"/>
      <c r="K11" s="487"/>
      <c r="AE11" s="40"/>
      <c r="AF11" s="40"/>
    </row>
    <row r="12" spans="2:32" ht="15.95" customHeight="1">
      <c r="B12" s="486"/>
      <c r="C12" s="489" t="s">
        <v>29</v>
      </c>
      <c r="D12" s="486"/>
      <c r="E12" s="486"/>
      <c r="F12" s="661" t="b">
        <v>1</v>
      </c>
      <c r="G12" s="486"/>
      <c r="H12" s="486"/>
      <c r="I12" s="486"/>
      <c r="J12" s="486"/>
      <c r="K12" s="487"/>
      <c r="AE12" s="40"/>
      <c r="AF12" s="40"/>
    </row>
    <row r="13" spans="2:32" ht="20.100000000000001" customHeight="1" thickBot="1">
      <c r="B13" s="486"/>
      <c r="C13" s="489" t="s">
        <v>30</v>
      </c>
      <c r="D13" s="486"/>
      <c r="E13" s="486"/>
      <c r="F13" s="661" t="b">
        <v>1</v>
      </c>
      <c r="G13" s="648"/>
      <c r="H13" s="486"/>
      <c r="I13" s="486"/>
      <c r="J13" s="486"/>
      <c r="K13" s="487"/>
      <c r="T13" s="47"/>
      <c r="AE13" s="40"/>
      <c r="AF13" s="40"/>
    </row>
    <row r="14" spans="2:32">
      <c r="B14" s="486"/>
      <c r="C14" s="489" t="s">
        <v>31</v>
      </c>
      <c r="D14" s="486"/>
      <c r="E14" s="486"/>
      <c r="F14" s="486"/>
      <c r="G14" s="661" t="b">
        <v>1</v>
      </c>
      <c r="H14" s="486"/>
      <c r="I14" s="486"/>
      <c r="J14" s="486"/>
      <c r="K14" s="487"/>
      <c r="P14" s="493" t="s">
        <v>32</v>
      </c>
      <c r="Q14" s="496" t="s">
        <v>104</v>
      </c>
      <c r="R14" t="s">
        <v>33</v>
      </c>
      <c r="T14" s="47"/>
      <c r="AE14" s="40"/>
      <c r="AF14" s="40"/>
    </row>
    <row r="15" spans="2:32">
      <c r="B15" s="486"/>
      <c r="C15" s="489" t="s">
        <v>34</v>
      </c>
      <c r="D15" s="486"/>
      <c r="E15" s="486"/>
      <c r="F15" s="486"/>
      <c r="G15" s="661" t="b">
        <v>1</v>
      </c>
      <c r="H15" s="486"/>
      <c r="I15" s="486"/>
      <c r="J15" s="486"/>
      <c r="K15" s="487"/>
      <c r="P15" s="628" t="str">
        <f>IF(Q14="REPOTENCIACIÓN CASO 1","Potencia Operativa Adicional (Hasta 5.000 hp)","Potencia Operativa")</f>
        <v>Potencia Operativa</v>
      </c>
      <c r="Q15" s="497">
        <v>5000</v>
      </c>
      <c r="R15" s="47" t="s">
        <v>35</v>
      </c>
      <c r="T15" s="50"/>
      <c r="AE15" s="40"/>
      <c r="AF15" s="40"/>
    </row>
    <row r="16" spans="2:32" ht="14.1" customHeight="1">
      <c r="B16" s="486"/>
      <c r="C16" s="489" t="s">
        <v>36</v>
      </c>
      <c r="D16" s="486"/>
      <c r="E16" s="486"/>
      <c r="F16" s="486"/>
      <c r="G16" s="661" t="b">
        <v>1</v>
      </c>
      <c r="H16" s="486"/>
      <c r="I16" s="486"/>
      <c r="J16" s="486"/>
      <c r="K16" s="487"/>
      <c r="P16" s="629" t="str">
        <f>IF(Q14="REPOTENCIACIÓN CASO 1","Capacidad Operativa Adicional","Capacidad Operativa")</f>
        <v>Capacidad Operativa</v>
      </c>
      <c r="Q16" s="497">
        <v>20</v>
      </c>
      <c r="R16" s="49" t="s">
        <v>37</v>
      </c>
      <c r="T16" s="50"/>
      <c r="AE16" s="40"/>
      <c r="AF16" s="40"/>
    </row>
    <row r="17" spans="2:32" ht="15.75" thickBot="1">
      <c r="B17" s="486"/>
      <c r="C17" s="486"/>
      <c r="D17" s="486"/>
      <c r="E17" s="486"/>
      <c r="F17" s="486"/>
      <c r="G17" s="648"/>
      <c r="H17" s="486"/>
      <c r="I17" s="486"/>
      <c r="J17" s="486"/>
      <c r="K17" s="487"/>
      <c r="P17" s="494" t="s">
        <v>38</v>
      </c>
      <c r="Q17" s="495" t="s">
        <v>39</v>
      </c>
      <c r="T17" s="50"/>
      <c r="AF17" s="40"/>
    </row>
    <row r="18" spans="2:32" ht="14.25">
      <c r="B18" s="486"/>
      <c r="C18" s="486"/>
      <c r="D18" s="486"/>
      <c r="E18" s="486"/>
      <c r="F18" s="486"/>
      <c r="G18" s="486"/>
      <c r="H18" s="486"/>
      <c r="I18" s="486"/>
      <c r="J18" s="486"/>
      <c r="K18" s="487"/>
      <c r="W18" s="40"/>
      <c r="AF18" s="40"/>
    </row>
    <row r="19" spans="2:32" ht="15.95" customHeight="1">
      <c r="B19" s="490" t="s">
        <v>40</v>
      </c>
      <c r="C19" s="486"/>
      <c r="D19" s="486"/>
      <c r="E19" s="486"/>
      <c r="F19" s="486"/>
      <c r="G19" s="490" t="s">
        <v>41</v>
      </c>
      <c r="H19" s="486"/>
      <c r="I19" s="486"/>
      <c r="J19" s="486"/>
      <c r="K19" s="487"/>
      <c r="W19" s="40"/>
      <c r="AF19" s="40"/>
    </row>
    <row r="20" spans="2:32" ht="15.95" customHeight="1" thickBot="1">
      <c r="B20" s="486"/>
      <c r="C20" s="489" t="s">
        <v>42</v>
      </c>
      <c r="D20" s="486"/>
      <c r="E20" s="486"/>
      <c r="F20" s="661" t="b">
        <v>1</v>
      </c>
      <c r="G20" s="486"/>
      <c r="H20" s="662" t="s">
        <v>43</v>
      </c>
      <c r="I20" s="486"/>
      <c r="J20" s="661" t="b">
        <v>1</v>
      </c>
      <c r="K20" s="487"/>
      <c r="W20"/>
      <c r="AF20" s="40"/>
    </row>
    <row r="21" spans="2:32" ht="26.25" customHeight="1" thickBot="1">
      <c r="B21" s="486"/>
      <c r="C21" s="489" t="s">
        <v>44</v>
      </c>
      <c r="D21" s="486"/>
      <c r="E21" s="486"/>
      <c r="F21" s="661" t="b">
        <v>1</v>
      </c>
      <c r="G21" s="486"/>
      <c r="H21" s="662" t="s">
        <v>45</v>
      </c>
      <c r="I21" s="486"/>
      <c r="J21" s="661" t="b">
        <v>1</v>
      </c>
      <c r="K21" s="487"/>
      <c r="M21" s="691" t="s">
        <v>46</v>
      </c>
      <c r="N21" s="691"/>
      <c r="O21" s="345" t="s">
        <v>47</v>
      </c>
      <c r="P21" s="345" t="s">
        <v>48</v>
      </c>
      <c r="Q21" s="345" t="s">
        <v>49</v>
      </c>
      <c r="R21" s="345" t="s">
        <v>50</v>
      </c>
      <c r="W21"/>
      <c r="AF21" s="40"/>
    </row>
    <row r="22" spans="2:32" ht="21.75" customHeight="1" thickBot="1">
      <c r="B22" s="486"/>
      <c r="C22" s="489" t="s">
        <v>51</v>
      </c>
      <c r="D22" s="486"/>
      <c r="E22" s="486"/>
      <c r="F22" s="661" t="b">
        <v>1</v>
      </c>
      <c r="G22" s="486"/>
      <c r="H22" s="662" t="s">
        <v>52</v>
      </c>
      <c r="I22" s="486"/>
      <c r="J22" s="661" t="b">
        <v>1</v>
      </c>
      <c r="K22" s="487"/>
      <c r="M22" s="692" t="s">
        <v>53</v>
      </c>
      <c r="N22" s="52" t="s">
        <v>54</v>
      </c>
      <c r="O22" s="53">
        <f>VLOOKUP(1,FACTORES!$S$4:$X$7,4,FALSE)</f>
        <v>1.0431699999999999E-2</v>
      </c>
      <c r="P22" s="347">
        <f>O22*(Q33+Q29)</f>
        <v>437897.62114130915</v>
      </c>
      <c r="Q22" s="348" t="s">
        <v>55</v>
      </c>
      <c r="R22" s="699" t="s">
        <v>56</v>
      </c>
      <c r="W22"/>
      <c r="AF22" s="54"/>
    </row>
    <row r="23" spans="2:32" ht="21.75" customHeight="1" thickBot="1">
      <c r="B23" s="486"/>
      <c r="C23" s="489" t="s">
        <v>57</v>
      </c>
      <c r="D23" s="486"/>
      <c r="E23" s="486"/>
      <c r="F23" s="661" t="b">
        <v>1</v>
      </c>
      <c r="G23" s="486"/>
      <c r="H23" s="662" t="s">
        <v>58</v>
      </c>
      <c r="I23" s="486"/>
      <c r="J23" s="661" t="b">
        <v>1</v>
      </c>
      <c r="K23" s="487"/>
      <c r="M23" s="692"/>
      <c r="N23" s="55" t="s">
        <v>59</v>
      </c>
      <c r="O23" s="53">
        <f>VLOOKUP(1,FACTORES!$S$4:$X$7,5,FALSE)</f>
        <v>2.0856099999999999E-2</v>
      </c>
      <c r="P23" s="347">
        <f>O23*(Q33+Q29)</f>
        <v>875488.80587874062</v>
      </c>
      <c r="Q23" s="693">
        <f>SUM(P22:P24)*(1+fac_iva)</f>
        <v>3646593.2061452619</v>
      </c>
      <c r="R23" s="699"/>
      <c r="W23"/>
      <c r="AF23" s="40"/>
    </row>
    <row r="24" spans="2:32" ht="18.75" customHeight="1" thickBot="1">
      <c r="B24" s="486"/>
      <c r="C24" s="489" t="s">
        <v>60</v>
      </c>
      <c r="D24" s="486"/>
      <c r="E24" s="486"/>
      <c r="F24" s="661" t="b">
        <v>1</v>
      </c>
      <c r="G24" s="486"/>
      <c r="H24" s="486"/>
      <c r="I24" s="486"/>
      <c r="J24" s="486"/>
      <c r="K24" s="487"/>
      <c r="M24" s="692"/>
      <c r="N24" s="56" t="s">
        <v>61</v>
      </c>
      <c r="O24" s="53">
        <f>VLOOKUP(1,FACTORES!$S$4:$X$7,6,FALSE)</f>
        <v>4.1712199999999998E-2</v>
      </c>
      <c r="P24" s="347">
        <f>O24*(Q33+Q29)</f>
        <v>1750977.6117574812</v>
      </c>
      <c r="Q24" s="693"/>
      <c r="R24" s="699"/>
      <c r="W24"/>
      <c r="AF24" s="40"/>
    </row>
    <row r="25" spans="2:32" ht="33.75" customHeight="1" thickBot="1">
      <c r="B25" s="486"/>
      <c r="C25" s="486"/>
      <c r="D25" s="486"/>
      <c r="E25" s="486"/>
      <c r="F25" s="486"/>
      <c r="G25" s="486"/>
      <c r="H25" s="486"/>
      <c r="I25" s="486"/>
      <c r="J25" s="486"/>
      <c r="K25" s="487"/>
      <c r="M25" s="692" t="s">
        <v>62</v>
      </c>
      <c r="N25" s="692"/>
      <c r="O25" s="53">
        <v>2.1428571428571401E-2</v>
      </c>
      <c r="P25" s="347">
        <f>O25*($Q$23+$Q$29+$Q$33+$P$38)</f>
        <v>1035831.8925805145</v>
      </c>
      <c r="Q25" s="348" t="s">
        <v>63</v>
      </c>
      <c r="R25" s="700" t="s">
        <v>64</v>
      </c>
      <c r="W25"/>
      <c r="AF25" s="40"/>
    </row>
    <row r="26" spans="2:32" ht="30.75" customHeight="1" thickBot="1">
      <c r="B26" s="490" t="s">
        <v>65</v>
      </c>
      <c r="C26" s="486"/>
      <c r="D26" s="486"/>
      <c r="E26" s="486"/>
      <c r="F26" s="486"/>
      <c r="G26" s="486"/>
      <c r="H26" s="486"/>
      <c r="I26" s="486"/>
      <c r="J26" s="486"/>
      <c r="K26" s="487"/>
      <c r="M26" s="694" t="s">
        <v>66</v>
      </c>
      <c r="N26" s="694"/>
      <c r="O26" s="53">
        <v>1.4285714285714299E-2</v>
      </c>
      <c r="P26" s="347">
        <f>O26*($Q$23+$Q$29+$Q$33+$P$38)</f>
        <v>690554.59505367791</v>
      </c>
      <c r="Q26" s="693">
        <f>SUM(P25:P27)*(1+fac_iva)</f>
        <v>2876159.8883985658</v>
      </c>
      <c r="R26" s="700"/>
      <c r="W26"/>
      <c r="AF26" s="40"/>
    </row>
    <row r="27" spans="2:32" ht="21.75" customHeight="1" thickBot="1">
      <c r="B27" s="486"/>
      <c r="C27" s="489" t="s">
        <v>67</v>
      </c>
      <c r="D27" s="486"/>
      <c r="E27" s="486"/>
      <c r="F27" s="661" t="b">
        <v>1</v>
      </c>
      <c r="G27" s="486"/>
      <c r="H27" s="486"/>
      <c r="I27" s="486"/>
      <c r="J27" s="486"/>
      <c r="K27" s="487"/>
      <c r="M27" s="692" t="s">
        <v>68</v>
      </c>
      <c r="N27" s="692"/>
      <c r="O27" s="53">
        <v>1.4285714285714299E-2</v>
      </c>
      <c r="P27" s="347">
        <f>O27*($Q$23+$Q$29+$Q$33+$P$38)</f>
        <v>690554.59505367791</v>
      </c>
      <c r="Q27" s="693"/>
      <c r="R27" s="700"/>
      <c r="W27"/>
      <c r="AF27" s="40"/>
    </row>
    <row r="28" spans="2:32" ht="25.5" customHeight="1" thickBot="1">
      <c r="B28" s="486"/>
      <c r="C28" s="489" t="s">
        <v>69</v>
      </c>
      <c r="D28" s="486"/>
      <c r="E28" s="486"/>
      <c r="F28" s="661" t="b">
        <v>1</v>
      </c>
      <c r="G28" s="486"/>
      <c r="H28" s="486"/>
      <c r="I28" s="486"/>
      <c r="J28" s="486"/>
      <c r="K28" s="487"/>
      <c r="M28" s="692" t="s">
        <v>70</v>
      </c>
      <c r="N28" s="57" t="s">
        <v>71</v>
      </c>
      <c r="O28" s="456">
        <f>VLOOKUP(Q14,'Costo estación'!U43:AC49,4,FALSE())</f>
        <v>195381.90943323227</v>
      </c>
      <c r="P28" s="348" t="s">
        <v>72</v>
      </c>
      <c r="Q28" s="348" t="s">
        <v>73</v>
      </c>
      <c r="R28" s="695" t="s">
        <v>74</v>
      </c>
      <c r="W28"/>
      <c r="AF28" s="40"/>
    </row>
    <row r="29" spans="2:32" ht="25.5" customHeight="1" thickBot="1">
      <c r="B29" s="486"/>
      <c r="C29" s="489" t="s">
        <v>75</v>
      </c>
      <c r="D29" s="486"/>
      <c r="E29" s="486"/>
      <c r="F29" s="661" t="b">
        <v>1</v>
      </c>
      <c r="G29" s="486"/>
      <c r="H29" s="486"/>
      <c r="I29" s="486"/>
      <c r="J29" s="486"/>
      <c r="K29" s="487"/>
      <c r="M29" s="692"/>
      <c r="N29" s="58" t="s">
        <v>76</v>
      </c>
      <c r="O29" s="627">
        <f>VLOOKUP(Q14,'Costo estación'!U43:AC49,5,FALSE())*(1+fac_arancel+fac_logistica_importacion_general)</f>
        <v>995401.92707894463</v>
      </c>
      <c r="P29" s="630">
        <f>VLOOKUP(Q14,'Costo estación'!U43:AC49,9,FALSE())*VLOOKUP(Q17,FACTORES!F4:K8,6,FALSE())</f>
        <v>32878.051288783012</v>
      </c>
      <c r="Q29" s="693">
        <f>P31*(1+fac_iva)</f>
        <v>10945655.946160005</v>
      </c>
      <c r="R29" s="695"/>
      <c r="W29"/>
      <c r="AF29" s="40"/>
    </row>
    <row r="30" spans="2:32" ht="25.5" customHeight="1" thickBot="1">
      <c r="B30" s="486"/>
      <c r="C30" s="489" t="s">
        <v>77</v>
      </c>
      <c r="D30" s="486"/>
      <c r="E30" s="486"/>
      <c r="F30" s="661" t="b">
        <v>1</v>
      </c>
      <c r="G30" s="486"/>
      <c r="H30" s="486"/>
      <c r="I30" s="486"/>
      <c r="J30" s="486"/>
      <c r="K30" s="487"/>
      <c r="M30" s="692" t="s">
        <v>78</v>
      </c>
      <c r="N30" s="57" t="s">
        <v>71</v>
      </c>
      <c r="O30" s="456">
        <f>VLOOKUP(Q14,'Costo estación'!U43:AC49,6,FALSE())</f>
        <v>225679.50389983197</v>
      </c>
      <c r="P30" s="348" t="s">
        <v>79</v>
      </c>
      <c r="Q30" s="693"/>
      <c r="R30" s="695" t="s">
        <v>74</v>
      </c>
      <c r="W30"/>
      <c r="AF30" s="40"/>
    </row>
    <row r="31" spans="2:32" ht="25.5" customHeight="1" thickBot="1">
      <c r="B31" s="491"/>
      <c r="C31" s="491"/>
      <c r="D31" s="491"/>
      <c r="E31" s="491"/>
      <c r="F31" s="491"/>
      <c r="G31" s="491"/>
      <c r="H31" s="491"/>
      <c r="I31" s="491"/>
      <c r="J31" s="491"/>
      <c r="K31" s="492"/>
      <c r="M31" s="692"/>
      <c r="N31" s="58" t="s">
        <v>80</v>
      </c>
      <c r="O31" s="627">
        <f>VLOOKUP(Q14,'Costo estación'!U43:AC49,7,FALSE())*(1+fac_arancel+fac_logistica_importacion_general)</f>
        <v>7748688.8151563574</v>
      </c>
      <c r="P31" s="631">
        <f>P29+O28+O29+O30+O31</f>
        <v>9198030.2068571486</v>
      </c>
      <c r="Q31" s="693"/>
      <c r="R31" s="695"/>
      <c r="W31"/>
      <c r="AF31" s="40"/>
    </row>
    <row r="32" spans="2:32" ht="26.85" customHeight="1" thickBot="1">
      <c r="M32" s="692" t="s">
        <v>81</v>
      </c>
      <c r="N32" s="692"/>
      <c r="O32" s="348" t="s">
        <v>82</v>
      </c>
      <c r="P32" s="348" t="s">
        <v>83</v>
      </c>
      <c r="Q32" s="348" t="s">
        <v>84</v>
      </c>
      <c r="R32" s="695" t="s">
        <v>85</v>
      </c>
      <c r="W32"/>
      <c r="Z32" s="40"/>
      <c r="AA32" s="40"/>
      <c r="AB32" s="40"/>
      <c r="AC32" s="40"/>
      <c r="AF32" s="40"/>
    </row>
    <row r="33" spans="1:32" ht="15.95" customHeight="1" thickBot="1">
      <c r="A33" t="b">
        <v>1</v>
      </c>
      <c r="M33" s="692"/>
      <c r="N33" s="692"/>
      <c r="O33" s="457">
        <f>VLOOKUP(Q14,'Costo estación'!U43:AC49,8,FALSE())</f>
        <v>27025812.92116525</v>
      </c>
      <c r="P33" s="457">
        <f>O33*fac_regionalizacion</f>
        <v>29289224.753312834</v>
      </c>
      <c r="Q33" s="696">
        <f>O35+(P33*0.05*fac_iva)</f>
        <v>31031933.626134947</v>
      </c>
      <c r="R33" s="695"/>
      <c r="W33"/>
      <c r="Z33" s="40"/>
      <c r="AA33" s="40"/>
      <c r="AB33" s="40"/>
      <c r="AC33" s="40"/>
      <c r="AF33" s="40"/>
    </row>
    <row r="34" spans="1:32" ht="15.95" customHeight="1" thickBot="1">
      <c r="M34" s="692"/>
      <c r="N34" s="692"/>
      <c r="O34" s="697" t="s">
        <v>86</v>
      </c>
      <c r="P34" s="697"/>
      <c r="Q34" s="696"/>
      <c r="R34" s="695"/>
      <c r="W34"/>
      <c r="Z34" s="40"/>
      <c r="AA34" s="40"/>
      <c r="AB34" s="40"/>
      <c r="AC34" s="40"/>
      <c r="AF34" s="40"/>
    </row>
    <row r="35" spans="1:32" ht="15.95" customHeight="1" thickBot="1">
      <c r="M35" s="692"/>
      <c r="N35" s="692"/>
      <c r="O35" s="698">
        <f>P33*1.05</f>
        <v>30753685.990978476</v>
      </c>
      <c r="P35" s="698"/>
      <c r="Q35" s="696"/>
      <c r="R35" s="695"/>
      <c r="W35"/>
      <c r="Z35" s="40"/>
      <c r="AA35" s="40"/>
      <c r="AB35" s="40"/>
      <c r="AC35" s="40"/>
      <c r="AF35" s="54"/>
    </row>
    <row r="36" spans="1:32" ht="48.75" thickBot="1">
      <c r="M36" s="692" t="s">
        <v>87</v>
      </c>
      <c r="N36" s="692"/>
      <c r="O36" s="53">
        <f>VLOOKUP(1,FACTORES!$Z$4:$AD$7,4,FALSE)</f>
        <v>7.0000000000000007E-2</v>
      </c>
      <c r="P36" s="693">
        <f>O36*(Q33+P38)*(1+fac_iva)</f>
        <v>2811089.4893709631</v>
      </c>
      <c r="Q36" s="693"/>
      <c r="R36" s="346" t="s">
        <v>88</v>
      </c>
      <c r="W36"/>
      <c r="Z36" s="40"/>
      <c r="AA36" s="40"/>
      <c r="AB36" s="40"/>
      <c r="AC36" s="40"/>
    </row>
    <row r="37" spans="1:32" ht="48.75" thickBot="1">
      <c r="M37" s="692" t="s">
        <v>89</v>
      </c>
      <c r="N37" s="692"/>
      <c r="O37" s="53">
        <f>VLOOKUP(1,FACTORES!$Z$4:$AD$7,5,FALSE)</f>
        <v>0.2</v>
      </c>
      <c r="P37" s="693">
        <f>(O37*(Q33+P38))*(1+fac_iva)</f>
        <v>8031684.255345609</v>
      </c>
      <c r="Q37" s="693"/>
      <c r="R37" s="346" t="s">
        <v>90</v>
      </c>
      <c r="S37" s="51"/>
      <c r="U37" s="51"/>
      <c r="W37" s="51"/>
      <c r="Y37" s="51"/>
      <c r="Z37" s="40"/>
      <c r="AA37" s="40"/>
      <c r="AB37" s="40"/>
      <c r="AC37" s="40"/>
    </row>
    <row r="38" spans="1:32" ht="72" customHeight="1" thickBot="1">
      <c r="M38" s="694" t="s">
        <v>91</v>
      </c>
      <c r="N38" s="694"/>
      <c r="O38" s="53">
        <v>0.05</v>
      </c>
      <c r="P38" s="693">
        <f>(O38*(Q23+Q33+Q29))*(1+fac_iva)</f>
        <v>2714638.8753171931</v>
      </c>
      <c r="Q38" s="693"/>
      <c r="R38" s="346" t="s">
        <v>92</v>
      </c>
      <c r="W38"/>
      <c r="Z38" s="40"/>
      <c r="AA38" s="40"/>
      <c r="AB38" s="40"/>
      <c r="AC38" s="40"/>
    </row>
    <row r="39" spans="1:32" ht="15.95" customHeight="1" thickBot="1">
      <c r="O39" s="59"/>
      <c r="W39" s="40"/>
    </row>
    <row r="40" spans="1:32" ht="15.95" customHeight="1" thickBot="1">
      <c r="M40" s="690" t="s">
        <v>93</v>
      </c>
      <c r="N40" s="690"/>
      <c r="O40" s="690"/>
      <c r="P40" s="345" t="s">
        <v>94</v>
      </c>
      <c r="Q40" s="345" t="s">
        <v>95</v>
      </c>
      <c r="W40" s="40"/>
    </row>
    <row r="41" spans="1:32" ht="15.95" customHeight="1" thickBot="1">
      <c r="F41" s="460" t="s">
        <v>96</v>
      </c>
      <c r="M41" s="473"/>
      <c r="N41" s="476">
        <f>P38+P37+P36+Q33+Q30+Q29+Q26+Q23</f>
        <v>62057755.286872543</v>
      </c>
      <c r="O41" s="474"/>
      <c r="P41" s="475">
        <f>N41/Potencia</f>
        <v>12411.551057374509</v>
      </c>
      <c r="Q41" s="349">
        <f>N41/Q16</f>
        <v>3102887.7643436273</v>
      </c>
      <c r="W41" s="40"/>
    </row>
    <row r="42" spans="1:32" ht="15.95" customHeight="1" thickBot="1">
      <c r="M42" s="60"/>
      <c r="N42" s="60"/>
      <c r="O42" s="60"/>
      <c r="P42" s="61"/>
      <c r="Q42" s="62"/>
      <c r="W42" s="40"/>
    </row>
    <row r="43" spans="1:32" ht="51.75" thickBot="1">
      <c r="O43" s="348" t="s">
        <v>97</v>
      </c>
      <c r="P43" s="348" t="s">
        <v>98</v>
      </c>
      <c r="Q43" s="348" t="s">
        <v>99</v>
      </c>
      <c r="R43" s="348" t="s">
        <v>100</v>
      </c>
      <c r="S43" s="63" t="s">
        <v>101</v>
      </c>
      <c r="W43" s="40"/>
    </row>
    <row r="44" spans="1:32" ht="25.5" customHeight="1" thickBot="1">
      <c r="M44" s="691" t="s">
        <v>102</v>
      </c>
      <c r="N44" s="691"/>
      <c r="O44" s="64">
        <f>IF(TipoEstacion="INICIAL CON TANQUES",1.33,IF(OR(TipoEstacion="INICIAL SIN TANQUES",TipoEstacion="REBOMBEO"),1,IF(TipoEstacion="TERMINAL CON TANQUES",0.63,IF(TipoEstacion="TERMINAL SIN TANQUES",0.22,""))))</f>
        <v>1.33</v>
      </c>
      <c r="P44" s="65">
        <f>IF(OR(TipoEstacion="INICIAL CON TANQUES",TipoEstacion="INICIAL SIN TANQUES",TipoEstacion="REBOMBEO"),106,"")</f>
        <v>106</v>
      </c>
      <c r="Q44" s="65" t="str">
        <f>IF(OR(TipoEstacion="TERMINAL CON TANQUES",TipoEstacion="TERMINAL SIN TANQUES"),1474389,"")</f>
        <v/>
      </c>
      <c r="R44" s="66">
        <f>IF(OR(TipoEstacion="INICIAL CON TANQUES",TipoEstacion="INICIAL SIN TANQUES",TipoEstacion="REBOMBEO"),Potencia*1.5,"")</f>
        <v>7500</v>
      </c>
      <c r="S44" s="67">
        <f>IF(OR(TipoEstacion="INICIAL CON TANQUES",TipoEstacion="INICIAL SIN TANQUES",TipoEstacion="REBOMBEO"),O44*P44*R44,IF(OR(TipoEstacion="TERMINAL CON TANQUES",TipoEstacion="TERMINAL SIN TANQUES"),O44*Q44,0))*((0.7*trm_año/trm_base*fac_mano_obra)+(0.3*trm_año/trm_base*ipc/ipc_base))</f>
        <v>1057350.0000000002</v>
      </c>
      <c r="W44" s="40"/>
    </row>
    <row r="50" spans="19:23">
      <c r="S50" s="68"/>
    </row>
    <row r="52" spans="19:23" ht="12.75">
      <c r="W52" s="69"/>
    </row>
    <row r="54" spans="19:23">
      <c r="S54" s="70"/>
    </row>
  </sheetData>
  <sheetProtection algorithmName="SHA-512" hashValue="+5MIORgAt+FO/7clQQdvTng2TzzO53msezSD2tA01YV/+VgIeKTlpf0PrHdBRmq4/U6vg53hCQuRF8YyHMWK8w==" saltValue="FeL8dIZv+Tbxst+ElbDRAw==" spinCount="100000" sheet="1" objects="1" scenarios="1"/>
  <mergeCells count="27">
    <mergeCell ref="M21:N21"/>
    <mergeCell ref="M22:M24"/>
    <mergeCell ref="R22:R24"/>
    <mergeCell ref="Q23:Q24"/>
    <mergeCell ref="M25:N25"/>
    <mergeCell ref="R25:R27"/>
    <mergeCell ref="M26:N26"/>
    <mergeCell ref="Q26:Q27"/>
    <mergeCell ref="M27:N27"/>
    <mergeCell ref="R32:R35"/>
    <mergeCell ref="Q33:Q35"/>
    <mergeCell ref="O34:P34"/>
    <mergeCell ref="O35:P35"/>
    <mergeCell ref="M28:M29"/>
    <mergeCell ref="R28:R29"/>
    <mergeCell ref="Q29:Q31"/>
    <mergeCell ref="M30:M31"/>
    <mergeCell ref="R30:R31"/>
    <mergeCell ref="M32:N35"/>
    <mergeCell ref="M40:O40"/>
    <mergeCell ref="M44:N44"/>
    <mergeCell ref="M36:N36"/>
    <mergeCell ref="P36:Q36"/>
    <mergeCell ref="M37:N37"/>
    <mergeCell ref="P37:Q37"/>
    <mergeCell ref="M38:N38"/>
    <mergeCell ref="P38:Q38"/>
  </mergeCells>
  <dataValidations xWindow="827" yWindow="445" count="5">
    <dataValidation operator="equal" allowBlank="1" showErrorMessage="1" sqref="T13:T17 R15" xr:uid="{00000000-0002-0000-0200-000000000000}">
      <formula1>0</formula1>
      <formula2>0</formula2>
    </dataValidation>
    <dataValidation allowBlank="1" showInputMessage="1" showErrorMessage="1" prompt="El mantenimiento de los tanques no está incluído en el costo de mantenimiento de la estación" sqref="M44:N44" xr:uid="{00000000-0002-0000-0200-000001000000}">
      <formula1>0</formula1>
      <formula2>0</formula2>
    </dataValidation>
    <dataValidation type="whole" allowBlank="1" showInputMessage="1" showErrorMessage="1" prompt="Rango de aplicación hasta 20000 HP excepto para Repotenciación - CASO 1 que será hasta 5000 HP." sqref="Q15" xr:uid="{00000000-0002-0000-0200-000003000000}">
      <formula1>0</formula1>
      <formula2>15000</formula2>
    </dataValidation>
    <dataValidation type="decimal" errorStyle="warning" allowBlank="1" showInputMessage="1" showErrorMessage="1" sqref="Q16" xr:uid="{00000000-0002-0000-0200-000004000000}">
      <formula1>0</formula1>
      <formula2>770</formula2>
    </dataValidation>
    <dataValidation type="list" allowBlank="1" showInputMessage="1" showErrorMessage="1" prompt="Zona de Colombia donde se realizará el proyecto." sqref="Q17" xr:uid="{00000000-0002-0000-0200-000005000000}">
      <formula1>Region</formula1>
      <formula2>0</formula2>
    </dataValidation>
  </dataValidations>
  <pageMargins left="0.78749999999999998" right="0.78749999999999998" top="1.05277777777778" bottom="1.05277777777778" header="0.78749999999999998" footer="0.78749999999999998"/>
  <pageSetup orientation="portrait" useFirstPageNumber="1" horizontalDpi="300" verticalDpi="300" r:id="rId1"/>
  <headerFooter>
    <oddHeader>&amp;C&amp;"Times New Roman,Regular"&amp;12&amp;A</oddHeader>
    <oddFooter>&amp;C&amp;"Times New Roman,Regular"&amp;12Page &amp;P</oddFooter>
  </headerFooter>
  <drawing r:id="rId2"/>
  <legacyDrawing r:id="rId3"/>
  <extLst>
    <ext xmlns:x14="http://schemas.microsoft.com/office/spreadsheetml/2009/9/main" uri="{CCE6A557-97BC-4b89-ADB6-D9C93CAAB3DF}">
      <x14:dataValidations xmlns:xm="http://schemas.microsoft.com/office/excel/2006/main" xWindow="827" yWindow="445" count="2">
        <x14:dataValidation type="list" operator="greaterThan" allowBlank="1" showErrorMessage="1" xr:uid="{00000000-0002-0000-0200-000002000000}">
          <x14:formula1>
            <xm:f>Indices!$H$4:$H$1048576</xm:f>
          </x14:formula1>
          <xm:sqref>Q10</xm:sqref>
        </x14:dataValidation>
        <x14:dataValidation type="list" operator="equal" showInputMessage="1" showErrorMessage="1" promptTitle="Tipo de estación" prompt="Definir si la estación de bombeo estará al inicio del ducto, (Inicial), en el intermedio (Re-Bombeo) o al terminar el tramo (Terminal). Repotenciación se trata de una planta a la cual se le ampliará la capacidad de bombéo." xr:uid="{00000000-0002-0000-0200-000008000000}">
          <x14:formula1>
            <xm:f>'Costo estación'!$U$43:$U$49</xm:f>
          </x14:formula1>
          <x14:formula2>
            <xm:f>0</xm:f>
          </x14:formula2>
          <xm:sqref>Q14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0">
    <tabColor theme="5" tint="0.79998168889431442"/>
  </sheetPr>
  <dimension ref="A1:O15"/>
  <sheetViews>
    <sheetView showGridLines="0" showRowColHeaders="0" topLeftCell="K7" zoomScaleNormal="100" workbookViewId="0">
      <selection activeCell="C17" sqref="C17:H17"/>
    </sheetView>
  </sheetViews>
  <sheetFormatPr baseColWidth="10" defaultColWidth="9.140625" defaultRowHeight="12.75"/>
  <cols>
    <col min="1" max="1" width="12" customWidth="1"/>
    <col min="2" max="2" width="19.140625" customWidth="1"/>
    <col min="3" max="3" width="85.85546875" customWidth="1"/>
    <col min="4" max="4" width="10.7109375" customWidth="1"/>
    <col min="5" max="5" width="14" customWidth="1"/>
    <col min="6" max="6" width="6.85546875" customWidth="1"/>
    <col min="7" max="7" width="13.42578125" customWidth="1"/>
    <col min="8" max="8" width="20.140625" style="190" customWidth="1"/>
    <col min="9" max="9" width="15.28515625" customWidth="1"/>
    <col min="10" max="10" width="27.42578125" customWidth="1"/>
    <col min="11" max="11" width="12.7109375" customWidth="1"/>
    <col min="12" max="12" width="22.7109375" customWidth="1"/>
    <col min="13" max="13" width="24.28515625" customWidth="1"/>
    <col min="14" max="14" width="28.42578125" customWidth="1"/>
    <col min="15" max="15" width="26" customWidth="1"/>
    <col min="16" max="16" width="20.42578125" customWidth="1"/>
    <col min="17" max="17" width="19.140625" customWidth="1"/>
    <col min="18" max="1025" width="83.85546875" customWidth="1"/>
  </cols>
  <sheetData>
    <row r="1" spans="1:15" ht="38.25" thickBot="1">
      <c r="A1" s="606" t="s">
        <v>955</v>
      </c>
      <c r="B1" s="596" t="s">
        <v>956</v>
      </c>
      <c r="C1" s="597" t="s">
        <v>957</v>
      </c>
      <c r="D1" s="597" t="s">
        <v>699</v>
      </c>
      <c r="E1" s="597" t="s">
        <v>700</v>
      </c>
      <c r="F1" s="597" t="s">
        <v>701</v>
      </c>
      <c r="G1" s="597" t="s">
        <v>673</v>
      </c>
      <c r="H1" s="598" t="s">
        <v>958</v>
      </c>
      <c r="I1" s="597" t="s">
        <v>964</v>
      </c>
      <c r="J1" s="597" t="s">
        <v>960</v>
      </c>
      <c r="K1" s="604" t="s">
        <v>706</v>
      </c>
      <c r="L1" s="605" t="s">
        <v>961</v>
      </c>
      <c r="M1" s="197" t="s">
        <v>962</v>
      </c>
      <c r="N1" s="597" t="s">
        <v>1003</v>
      </c>
      <c r="O1" s="597" t="s">
        <v>966</v>
      </c>
    </row>
    <row r="2" spans="1:15" ht="13.5" thickBot="1">
      <c r="A2" s="435" t="str">
        <f>IF(VLOOKUP(C2,'BD  Materiales y equipos'!$B$3:$F$190,1,FALSE())=C2,"CORRECTO","NO LISTADO")</f>
        <v>CORRECTO</v>
      </c>
      <c r="B2" s="616" t="s">
        <v>411</v>
      </c>
      <c r="C2" s="591" t="s">
        <v>746</v>
      </c>
      <c r="D2" s="592" t="str">
        <f>VLOOKUP(C2,'BD  Materiales y equipos'!$B$3:$F$190,2,FALSE())</f>
        <v>Metro lineal</v>
      </c>
      <c r="E2" s="592">
        <f>VLOOKUP(C2,'BD  Materiales y equipos'!$B$3:$F$190,3,FALSE())</f>
        <v>40</v>
      </c>
      <c r="F2" s="592">
        <f>VLOOKUP(C2,'BD  Materiales y equipos'!$B$3:$F$190,4,FALSE())</f>
        <v>0</v>
      </c>
      <c r="G2" s="601">
        <v>24</v>
      </c>
      <c r="H2" s="594">
        <f>VLOOKUP(C2,'BD  Materiales y equipos'!$B$3:$I$190,8,FALSE())*G2</f>
        <v>303.34177660031514</v>
      </c>
      <c r="I2" s="594">
        <f>N2*H2*L2</f>
        <v>543.55716882319007</v>
      </c>
      <c r="J2" s="594">
        <f>O2*H2*M2</f>
        <v>1046.3258277139544</v>
      </c>
      <c r="K2" s="592" t="str">
        <f>VLOOKUP(C2,'BD  Materiales y equipos'!$B$3:$L$190,11,FALSE())</f>
        <v>IMPORTADO</v>
      </c>
      <c r="L2" s="603">
        <f t="shared" ref="L2:L11" si="0">+acero/acero_base</f>
        <v>1</v>
      </c>
      <c r="M2" s="595">
        <f t="shared" ref="M2:M12" si="1">(0.65*ipc/ipc_base*trm_base/trm+0.35*fac_mano_obra)</f>
        <v>1</v>
      </c>
      <c r="N2" s="594">
        <f>VLOOKUP(C2,'BD  Materiales y equipos'!$B$3:$K$190,9,FALSE())*0.811905633063426</f>
        <v>1.7918968330543672</v>
      </c>
      <c r="O2" s="594">
        <f>VLOOKUP(C2,'BD  Materiales y equipos'!$B$3:$K$190,10,FALSE())*1.14265904837007</f>
        <v>3.4493297937415299</v>
      </c>
    </row>
    <row r="3" spans="1:15" ht="13.5" thickBot="1">
      <c r="A3" s="435" t="str">
        <f>IF(VLOOKUP(C3,'BD  Materiales y equipos'!$B$3:$F$190,1,FALSE())=C3,"CORRECTO","NO LISTADO")</f>
        <v>CORRECTO</v>
      </c>
      <c r="B3" s="614" t="s">
        <v>411</v>
      </c>
      <c r="C3" s="147" t="s">
        <v>786</v>
      </c>
      <c r="D3" s="191" t="str">
        <f>VLOOKUP(C3,'BD  Materiales y equipos'!$B$3:$F$190,2,FALSE())</f>
        <v>Unidad</v>
      </c>
      <c r="E3" s="191" t="str">
        <f>VLOOKUP(C3,'BD  Materiales y equipos'!$B$3:$F$190,3,FALSE())</f>
        <v>STD</v>
      </c>
      <c r="F3" s="191">
        <f>VLOOKUP(C3,'BD  Materiales y equipos'!$B$3:$F$190,4,FALSE())</f>
        <v>0</v>
      </c>
      <c r="G3" s="133">
        <v>4</v>
      </c>
      <c r="H3" s="194">
        <f>VLOOKUP(C3,'BD  Materiales y equipos'!$B$3:$I$190,8,FALSE())*G3</f>
        <v>17.230149846523908</v>
      </c>
      <c r="I3" s="194">
        <f t="shared" ref="I3:I12" si="2">N3*H3*L3</f>
        <v>1043.7760962275183</v>
      </c>
      <c r="J3" s="194">
        <f t="shared" ref="J3:J12" si="3">O3*H3*M3</f>
        <v>492.77351258495071</v>
      </c>
      <c r="K3" s="191" t="str">
        <f>VLOOKUP(C3,'BD  Materiales y equipos'!$B$3:$L$190,11,FALSE())</f>
        <v>IMPORTADO</v>
      </c>
      <c r="L3" s="436">
        <f t="shared" si="0"/>
        <v>1</v>
      </c>
      <c r="M3" s="595">
        <f t="shared" si="1"/>
        <v>1</v>
      </c>
      <c r="N3" s="194">
        <f>VLOOKUP(C3,'BD  Materiales y equipos'!$B$3:$K$190,9,FALSE())*0.811905633063426</f>
        <v>60.578468877221901</v>
      </c>
      <c r="O3" s="194">
        <f>VLOOKUP(C3,'BD  Materiales y equipos'!$B$3:$K$190,10,FALSE())*1.14265904837007</f>
        <v>28.599490832888211</v>
      </c>
    </row>
    <row r="4" spans="1:15" ht="13.5" thickBot="1">
      <c r="A4" s="435" t="str">
        <f>IF(VLOOKUP(C4,'BD  Materiales y equipos'!$B$3:$F$190,1,FALSE())=C4,"CORRECTO","NO LISTADO")</f>
        <v>CORRECTO</v>
      </c>
      <c r="B4" s="614" t="s">
        <v>411</v>
      </c>
      <c r="C4" s="147" t="s">
        <v>753</v>
      </c>
      <c r="D4" s="191" t="str">
        <f>VLOOKUP(C4,'BD  Materiales y equipos'!$B$3:$F$190,2,FALSE())</f>
        <v>Unidad</v>
      </c>
      <c r="E4" s="191">
        <f>VLOOKUP(C4,'BD  Materiales y equipos'!$B$3:$F$190,3,FALSE())</f>
        <v>0</v>
      </c>
      <c r="F4" s="191" t="str">
        <f>VLOOKUP(C4,'BD  Materiales y equipos'!$B$3:$F$190,4,FALSE())</f>
        <v>300#</v>
      </c>
      <c r="G4" s="133">
        <v>4</v>
      </c>
      <c r="H4" s="194">
        <f>VLOOKUP(C4,'BD  Materiales y equipos'!$B$3:$I$190,8,FALSE())*G4</f>
        <v>37.690952789271044</v>
      </c>
      <c r="I4" s="194">
        <f t="shared" si="2"/>
        <v>659.22700814369591</v>
      </c>
      <c r="J4" s="194">
        <f t="shared" si="3"/>
        <v>238.67033344738081</v>
      </c>
      <c r="K4" s="191" t="str">
        <f>VLOOKUP(C4,'BD  Materiales y equipos'!$B$3:$L$190,11,FALSE())</f>
        <v>IMPORTADO</v>
      </c>
      <c r="L4" s="436">
        <f t="shared" si="0"/>
        <v>1</v>
      </c>
      <c r="M4" s="595">
        <f t="shared" si="1"/>
        <v>1</v>
      </c>
      <c r="N4" s="194">
        <f>VLOOKUP(C4,'BD  Materiales y equipos'!$B$3:$K$190,9,FALSE())*0.811905633063426</f>
        <v>17.490324848761819</v>
      </c>
      <c r="O4" s="194">
        <f>VLOOKUP(C4,'BD  Materiales y equipos'!$B$3:$K$190,10,FALSE())*1.14265904837007</f>
        <v>6.3322976944037288</v>
      </c>
    </row>
    <row r="5" spans="1:15" ht="13.5" thickBot="1">
      <c r="A5" s="435" t="str">
        <f>IF(VLOOKUP(C5,'BD  Materiales y equipos'!$B$3:$F$190,1,FALSE())=C5,"CORRECTO","NO LISTADO")</f>
        <v>CORRECTO</v>
      </c>
      <c r="B5" s="614" t="s">
        <v>411</v>
      </c>
      <c r="C5" s="147" t="s">
        <v>787</v>
      </c>
      <c r="D5" s="191" t="str">
        <f>VLOOKUP(C5,'BD  Materiales y equipos'!$B$3:$F$190,2,FALSE())</f>
        <v>Unidad</v>
      </c>
      <c r="E5" s="191" t="str">
        <f>VLOOKUP(C5,'BD  Materiales y equipos'!$B$3:$F$190,3,FALSE())</f>
        <v>STD</v>
      </c>
      <c r="F5" s="191">
        <f>VLOOKUP(C5,'BD  Materiales y equipos'!$B$3:$F$190,4,FALSE())</f>
        <v>0</v>
      </c>
      <c r="G5" s="133">
        <v>2</v>
      </c>
      <c r="H5" s="194">
        <f>VLOOKUP(C5,'BD  Materiales y equipos'!$B$3:$I$190,8,FALSE())*G5</f>
        <v>14.537938933004547</v>
      </c>
      <c r="I5" s="194">
        <f t="shared" si="2"/>
        <v>547.42827576844923</v>
      </c>
      <c r="J5" s="194">
        <f t="shared" si="3"/>
        <v>181.82611964305471</v>
      </c>
      <c r="K5" s="191" t="str">
        <f>VLOOKUP(C5,'BD  Materiales y equipos'!$B$3:$L$190,11,FALSE())</f>
        <v>IMPORTADO</v>
      </c>
      <c r="L5" s="436">
        <f t="shared" si="0"/>
        <v>1</v>
      </c>
      <c r="M5" s="595">
        <f t="shared" si="1"/>
        <v>1</v>
      </c>
      <c r="N5" s="194">
        <f>VLOOKUP(C5,'BD  Materiales y equipos'!$B$3:$K$190,9,FALSE())*0.811905633063426</f>
        <v>37.655150313340364</v>
      </c>
      <c r="O5" s="194">
        <f>VLOOKUP(C5,'BD  Materiales y equipos'!$B$3:$K$190,10,FALSE())*1.14265904837007</f>
        <v>12.50700807597056</v>
      </c>
    </row>
    <row r="6" spans="1:15" ht="13.5" thickBot="1">
      <c r="A6" s="435" t="str">
        <f>IF(VLOOKUP(C6,'BD  Materiales y equipos'!$B$3:$F$190,1,FALSE())=C6,"CORRECTO","NO LISTADO")</f>
        <v>CORRECTO</v>
      </c>
      <c r="B6" s="614" t="s">
        <v>411</v>
      </c>
      <c r="C6" s="147" t="s">
        <v>788</v>
      </c>
      <c r="D6" s="191" t="str">
        <f>VLOOKUP(C6,'BD  Materiales y equipos'!$B$3:$F$190,2,FALSE())</f>
        <v>Unidad</v>
      </c>
      <c r="E6" s="191" t="str">
        <f>VLOOKUP(C6,'BD  Materiales y equipos'!$B$3:$F$190,3,FALSE())</f>
        <v>STD</v>
      </c>
      <c r="F6" s="191">
        <f>VLOOKUP(C6,'BD  Materiales y equipos'!$B$3:$F$190,4,FALSE())</f>
        <v>0</v>
      </c>
      <c r="G6" s="133">
        <v>2</v>
      </c>
      <c r="H6" s="194">
        <f>VLOOKUP(C6,'BD  Materiales y equipos'!$B$3:$I$190,8,FALSE())*G6</f>
        <v>9.1535171059658254</v>
      </c>
      <c r="I6" s="194">
        <f t="shared" si="2"/>
        <v>480.44541456086603</v>
      </c>
      <c r="J6" s="194">
        <f t="shared" si="3"/>
        <v>106.00288182208303</v>
      </c>
      <c r="K6" s="191" t="str">
        <f>VLOOKUP(C6,'BD  Materiales y equipos'!$B$3:$L$190,11,FALSE())</f>
        <v>IMPORTADO</v>
      </c>
      <c r="L6" s="436">
        <f t="shared" si="0"/>
        <v>1</v>
      </c>
      <c r="M6" s="595">
        <f t="shared" si="1"/>
        <v>1</v>
      </c>
      <c r="N6" s="194">
        <f>VLOOKUP(C6,'BD  Materiales y equipos'!$B$3:$K$190,9,FALSE())*0.811905633063426</f>
        <v>52.487520261226656</v>
      </c>
      <c r="O6" s="194">
        <f>VLOOKUP(C6,'BD  Materiales y equipos'!$B$3:$K$190,10,FALSE())*1.14265904837007</f>
        <v>11.580563033306117</v>
      </c>
    </row>
    <row r="7" spans="1:15" ht="13.5" thickBot="1">
      <c r="A7" s="435" t="str">
        <f>IF(VLOOKUP(C7,'BD  Materiales y equipos'!$B$3:$F$190,1,FALSE())=C7,"CORRECTO","NO LISTADO")</f>
        <v>CORRECTO</v>
      </c>
      <c r="B7" s="614" t="s">
        <v>411</v>
      </c>
      <c r="C7" s="147" t="s">
        <v>820</v>
      </c>
      <c r="D7" s="191" t="str">
        <f>VLOOKUP(C7,'BD  Materiales y equipos'!$B$3:$F$190,2,FALSE())</f>
        <v>Junta</v>
      </c>
      <c r="E7" s="191">
        <f>VLOOKUP(C7,'BD  Materiales y equipos'!$B$3:$F$190,3,FALSE())</f>
        <v>0</v>
      </c>
      <c r="F7" s="191" t="str">
        <f>VLOOKUP(C7,'BD  Materiales y equipos'!$B$3:$F$190,4,FALSE())</f>
        <v>150#</v>
      </c>
      <c r="G7" s="133">
        <v>8</v>
      </c>
      <c r="H7" s="194">
        <f>VLOOKUP(C7,'BD  Materiales y equipos'!$B$3:$I$190,8,FALSE())*G7</f>
        <v>19.383918577339394</v>
      </c>
      <c r="I7" s="194">
        <f t="shared" si="2"/>
        <v>10.155124358522112</v>
      </c>
      <c r="J7" s="194">
        <f t="shared" si="3"/>
        <v>0</v>
      </c>
      <c r="K7" s="191" t="str">
        <f>VLOOKUP(C7,'BD  Materiales y equipos'!$B$3:$L$190,11,FALSE())</f>
        <v>IMPORTADO</v>
      </c>
      <c r="L7" s="436">
        <f t="shared" si="0"/>
        <v>1</v>
      </c>
      <c r="M7" s="595">
        <f t="shared" si="1"/>
        <v>1</v>
      </c>
      <c r="N7" s="194">
        <f>VLOOKUP(C7,'BD  Materiales y equipos'!$B$3:$K$190,9,FALSE())*0.811905633063426</f>
        <v>0.5238942950572375</v>
      </c>
      <c r="O7" s="194">
        <f>VLOOKUP(C7,'BD  Materiales y equipos'!$B$3:$K$190,10,FALSE())*1.14265904837007</f>
        <v>0</v>
      </c>
    </row>
    <row r="8" spans="1:15" ht="13.5" thickBot="1">
      <c r="A8" s="435" t="str">
        <f>IF(VLOOKUP(C8,'BD  Materiales y equipos'!$B$3:$F$190,1,FALSE())=C8,"CORRECTO","NO LISTADO")</f>
        <v>CORRECTO</v>
      </c>
      <c r="B8" s="614" t="s">
        <v>411</v>
      </c>
      <c r="C8" s="147" t="s">
        <v>790</v>
      </c>
      <c r="D8" s="191" t="str">
        <f>VLOOKUP(C8,'BD  Materiales y equipos'!$B$3:$F$190,2,FALSE())</f>
        <v>Unidad</v>
      </c>
      <c r="E8" s="191">
        <f>VLOOKUP(C8,'BD  Materiales y equipos'!$B$3:$F$190,3,FALSE())</f>
        <v>0</v>
      </c>
      <c r="F8" s="191" t="str">
        <f>VLOOKUP(C8,'BD  Materiales y equipos'!$B$3:$F$190,4,FALSE())</f>
        <v>300#</v>
      </c>
      <c r="G8" s="133">
        <v>8</v>
      </c>
      <c r="H8" s="194">
        <f>VLOOKUP(C8,'BD  Materiales y equipos'!$B$3:$I$190,8,FALSE())*G8</f>
        <v>3.5611854496397641</v>
      </c>
      <c r="I8" s="194">
        <f t="shared" si="2"/>
        <v>17.348079161676203</v>
      </c>
      <c r="J8" s="194">
        <f t="shared" si="3"/>
        <v>0</v>
      </c>
      <c r="K8" s="191" t="str">
        <f>VLOOKUP(C8,'BD  Materiales y equipos'!$B$3:$L$190,11,FALSE())</f>
        <v>IMPORTADO</v>
      </c>
      <c r="L8" s="436">
        <f t="shared" si="0"/>
        <v>1</v>
      </c>
      <c r="M8" s="595">
        <f t="shared" si="1"/>
        <v>1</v>
      </c>
      <c r="N8" s="194">
        <f>VLOOKUP(C8,'BD  Materiales y equipos'!$B$3:$K$190,9,FALSE())*0.811905633063426</f>
        <v>4.871433798380556</v>
      </c>
      <c r="O8" s="194">
        <f>VLOOKUP(C8,'BD  Materiales y equipos'!$B$3:$K$190,10,FALSE())*1.14265904837007</f>
        <v>0</v>
      </c>
    </row>
    <row r="9" spans="1:15" ht="13.5" thickBot="1">
      <c r="A9" s="435" t="str">
        <f>IF(VLOOKUP(C9,'BD  Materiales y equipos'!$B$3:$F$190,1,FALSE())=C9,"CORRECTO","NO LISTADO")</f>
        <v>CORRECTO</v>
      </c>
      <c r="B9" s="614" t="s">
        <v>411</v>
      </c>
      <c r="C9" s="147" t="s">
        <v>903</v>
      </c>
      <c r="D9" s="191" t="str">
        <f>VLOOKUP(C9,'BD  Materiales y equipos'!$B$3:$F$190,2,FALSE())</f>
        <v>Global</v>
      </c>
      <c r="E9" s="191">
        <f>VLOOKUP(C9,'BD  Materiales y equipos'!$B$3:$F$190,3,FALSE())</f>
        <v>0</v>
      </c>
      <c r="F9" s="191">
        <f>VLOOKUP(C9,'BD  Materiales y equipos'!$B$3:$F$190,4,FALSE())</f>
        <v>0</v>
      </c>
      <c r="G9" s="133">
        <v>1</v>
      </c>
      <c r="H9" s="194">
        <f>VLOOKUP(C9,'BD  Materiales y equipos'!$B$3:$I$190,8,FALSE())*G9</f>
        <v>20.180050881291997</v>
      </c>
      <c r="I9" s="194">
        <f t="shared" si="2"/>
        <v>229.15466035610862</v>
      </c>
      <c r="J9" s="194">
        <f t="shared" si="3"/>
        <v>0</v>
      </c>
      <c r="K9" s="191" t="str">
        <f>VLOOKUP(C9,'BD  Materiales y equipos'!$B$3:$L$190,11,FALSE())</f>
        <v>NACIONAL</v>
      </c>
      <c r="L9" s="436">
        <f t="shared" si="0"/>
        <v>1</v>
      </c>
      <c r="M9" s="595">
        <f t="shared" si="1"/>
        <v>1</v>
      </c>
      <c r="N9" s="194">
        <f>VLOOKUP(C9,'BD  Materiales y equipos'!$B$3:$K$190,9,FALSE())*0.811905633063426</f>
        <v>11.355504587381761</v>
      </c>
      <c r="O9" s="194">
        <f>VLOOKUP(C9,'BD  Materiales y equipos'!$B$3:$K$190,10,FALSE())*1.14265904837007</f>
        <v>0</v>
      </c>
    </row>
    <row r="10" spans="1:15" ht="13.5" thickBot="1">
      <c r="A10" s="435" t="str">
        <f>IF(VLOOKUP(C10,'BD  Materiales y equipos'!$B$3:$F$190,1,FALSE())=C10,"CORRECTO","NO LISTADO")</f>
        <v>CORRECTO</v>
      </c>
      <c r="B10" s="614" t="s">
        <v>411</v>
      </c>
      <c r="C10" s="147" t="s">
        <v>792</v>
      </c>
      <c r="D10" s="191" t="str">
        <f>VLOOKUP(C10,'BD  Materiales y equipos'!$B$3:$F$190,2,FALSE())</f>
        <v>Unidad</v>
      </c>
      <c r="E10" s="191">
        <f>VLOOKUP(C10,'BD  Materiales y equipos'!$B$3:$F$190,3,FALSE())</f>
        <v>0</v>
      </c>
      <c r="F10" s="191" t="str">
        <f>VLOOKUP(C10,'BD  Materiales y equipos'!$B$3:$F$190,4,FALSE())</f>
        <v>300#</v>
      </c>
      <c r="G10" s="133">
        <v>2</v>
      </c>
      <c r="H10" s="194">
        <f>VLOOKUP(C10,'BD  Materiales y equipos'!$B$3:$I$190,8,FALSE())*G10</f>
        <v>236.81883240104432</v>
      </c>
      <c r="I10" s="194">
        <f t="shared" si="2"/>
        <v>2301.2784649125992</v>
      </c>
      <c r="J10" s="194">
        <f t="shared" si="3"/>
        <v>1317.0376261100735</v>
      </c>
      <c r="K10" s="191" t="str">
        <f>VLOOKUP(C10,'BD  Materiales y equipos'!$B$3:$L$190,11,FALSE())</f>
        <v>IMPORTADO</v>
      </c>
      <c r="L10" s="436">
        <f t="shared" si="0"/>
        <v>1</v>
      </c>
      <c r="M10" s="595">
        <f t="shared" si="1"/>
        <v>1</v>
      </c>
      <c r="N10" s="194">
        <f>VLOOKUP(C10,'BD  Materiales y equipos'!$B$3:$K$190,9,FALSE())*0.811905633063426</f>
        <v>9.7174639431355079</v>
      </c>
      <c r="O10" s="194">
        <f>VLOOKUP(C10,'BD  Materiales y equipos'!$B$3:$K$190,10,FALSE())*1.14265904837007</f>
        <v>5.5613720106503894</v>
      </c>
    </row>
    <row r="11" spans="1:15" ht="13.5" thickBot="1">
      <c r="A11" s="435" t="str">
        <f>IF(VLOOKUP(C11,'BD  Materiales y equipos'!$B$3:$F$190,1,FALSE())=C11,"CORRECTO","NO LISTADO")</f>
        <v>CORRECTO</v>
      </c>
      <c r="B11" s="614" t="s">
        <v>411</v>
      </c>
      <c r="C11" s="147" t="s">
        <v>904</v>
      </c>
      <c r="D11" s="191" t="str">
        <f>VLOOKUP(C11,'BD  Materiales y equipos'!$B$3:$F$190,2,FALSE())</f>
        <v>Unidad</v>
      </c>
      <c r="E11" s="191">
        <f>VLOOKUP(C11,'BD  Materiales y equipos'!$B$3:$F$190,3,FALSE())</f>
        <v>0</v>
      </c>
      <c r="F11" s="191">
        <f>VLOOKUP(C11,'BD  Materiales y equipos'!$B$3:$F$190,4,FALSE())</f>
        <v>0</v>
      </c>
      <c r="G11" s="133">
        <v>3</v>
      </c>
      <c r="H11" s="194">
        <f>VLOOKUP(C11,'BD  Materiales y equipos'!$B$3:$I$190,8,FALSE())*G11</f>
        <v>62.320745368695874</v>
      </c>
      <c r="I11" s="194">
        <f t="shared" si="2"/>
        <v>5714.0958575402738</v>
      </c>
      <c r="J11" s="194">
        <f t="shared" si="3"/>
        <v>4079.6990204553713</v>
      </c>
      <c r="K11" s="191" t="str">
        <f>VLOOKUP(C11,'BD  Materiales y equipos'!$B$3:$L$190,11,FALSE())</f>
        <v>IMPORTADO</v>
      </c>
      <c r="L11" s="436">
        <f t="shared" si="0"/>
        <v>1</v>
      </c>
      <c r="M11" s="595">
        <f t="shared" si="1"/>
        <v>1</v>
      </c>
      <c r="N11" s="194">
        <f>VLOOKUP(C11,'BD  Materiales y equipos'!$B$3:$K$190,9,FALSE())*0.811905633063426</f>
        <v>91.688503141852706</v>
      </c>
      <c r="O11" s="194">
        <f>VLOOKUP(C11,'BD  Materiales y equipos'!$B$3:$K$190,10,FALSE())*1.14265904837007</f>
        <v>65.462936881121308</v>
      </c>
    </row>
    <row r="12" spans="1:15" ht="13.5" thickBot="1">
      <c r="A12" s="435" t="str">
        <f>IF(VLOOKUP(C12,'BD  Materiales y equipos'!$B$3:$F$190,1,FALSE())=C12,"CORRECTO","NO LISTADO")</f>
        <v>CORRECTO</v>
      </c>
      <c r="B12" s="615" t="s">
        <v>412</v>
      </c>
      <c r="C12" s="586" t="s">
        <v>905</v>
      </c>
      <c r="D12" s="587" t="str">
        <f>VLOOKUP(C12,'BD  Materiales y equipos'!$B$3:$F$190,2,FALSE())</f>
        <v>Unidad</v>
      </c>
      <c r="E12" s="587">
        <f>VLOOKUP(C12,'BD  Materiales y equipos'!$B$3:$F$190,3,FALSE())</f>
        <v>0</v>
      </c>
      <c r="F12" s="587" t="str">
        <f>VLOOKUP(C12,'BD  Materiales y equipos'!$B$3:$F$190,4,FALSE())</f>
        <v>300#</v>
      </c>
      <c r="G12" s="599">
        <v>4</v>
      </c>
      <c r="H12" s="589">
        <f>VLOOKUP(C12,'BD  Materiales y equipos'!$B$3:$I$190,8,FALSE())*G12</f>
        <v>4</v>
      </c>
      <c r="I12" s="589">
        <f t="shared" si="2"/>
        <v>474276.59302699805</v>
      </c>
      <c r="J12" s="589">
        <f t="shared" si="3"/>
        <v>147005.37189090624</v>
      </c>
      <c r="K12" s="587" t="str">
        <f>VLOOKUP(C12,'BD  Materiales y equipos'!$B$3:$L$190,11,FALSE())</f>
        <v>IMPORTADO</v>
      </c>
      <c r="L12" s="436">
        <f>ppi_usa_medidores/ppi_usa_medidores_base</f>
        <v>1</v>
      </c>
      <c r="M12" s="595">
        <f t="shared" si="1"/>
        <v>1</v>
      </c>
      <c r="N12" s="589">
        <f>VLOOKUP(C12,'BD  Materiales y equipos'!$B$3:$K$190,9,FALSE())*1.1427911045044</f>
        <v>118569.14825674951</v>
      </c>
      <c r="O12" s="589">
        <f>VLOOKUP(C12,'BD  Materiales y equipos'!$B$3:$K$190,10,FALSE())*1.14265904837007</f>
        <v>36751.342972726561</v>
      </c>
    </row>
    <row r="14" spans="1:15">
      <c r="I14" s="358"/>
      <c r="J14" s="358"/>
    </row>
    <row r="15" spans="1:15">
      <c r="J15" s="358"/>
    </row>
  </sheetData>
  <conditionalFormatting sqref="A2:A12">
    <cfRule type="cellIs" dxfId="17" priority="2" operator="equal">
      <formula>"CORRECTO"</formula>
    </cfRule>
    <cfRule type="cellIs" dxfId="16" priority="3" operator="notEqual">
      <formula>"CORRECTO"</formula>
    </cfRule>
  </conditionalFormatting>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21">
    <tabColor theme="5" tint="0.79998168889431442"/>
  </sheetPr>
  <dimension ref="B2:Q26"/>
  <sheetViews>
    <sheetView showGridLines="0" showRowColHeaders="0" topLeftCell="I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20.28515625" customWidth="1"/>
    <col min="4" max="4" width="60.7109375" style="121" customWidth="1"/>
    <col min="5" max="5" width="10" style="121" customWidth="1"/>
    <col min="6" max="6" width="8.28515625" style="121" customWidth="1"/>
    <col min="7" max="7" width="9.42578125" style="121" customWidth="1"/>
    <col min="8" max="9" width="18.140625" style="121" customWidth="1"/>
    <col min="10" max="10" width="10.85546875" style="121" customWidth="1"/>
    <col min="11" max="12" width="13" style="121" customWidth="1"/>
    <col min="13" max="14" width="12.140625" customWidth="1"/>
    <col min="15" max="16" width="12" bestFit="1" customWidth="1"/>
    <col min="17" max="17" width="16.28515625" customWidth="1"/>
    <col min="18" max="1026" width="8.42578125" customWidth="1"/>
  </cols>
  <sheetData>
    <row r="2" spans="2:16" ht="13.5" thickBot="1">
      <c r="K2" s="613" t="s">
        <v>1004</v>
      </c>
      <c r="L2" s="613" t="s">
        <v>1005</v>
      </c>
    </row>
    <row r="3" spans="2:16" ht="13.5" thickBot="1">
      <c r="G3" s="228"/>
      <c r="H3" s="195" t="s">
        <v>129</v>
      </c>
      <c r="I3" s="422">
        <f>trm</f>
        <v>4385.1487096774199</v>
      </c>
      <c r="K3" s="360">
        <v>0.6</v>
      </c>
      <c r="L3" s="360">
        <v>0.4</v>
      </c>
    </row>
    <row r="4" spans="2:16" ht="13.5" thickBot="1"/>
    <row r="5" spans="2:16" s="229" customFormat="1" ht="39" customHeight="1" thickBot="1">
      <c r="C5" s="308" t="s">
        <v>967</v>
      </c>
      <c r="D5" s="196" t="s">
        <v>968</v>
      </c>
      <c r="E5" s="196" t="s">
        <v>969</v>
      </c>
      <c r="F5" s="196" t="s">
        <v>970</v>
      </c>
      <c r="G5" s="196" t="s">
        <v>715</v>
      </c>
      <c r="H5" s="196" t="s">
        <v>971</v>
      </c>
      <c r="I5" s="196" t="s">
        <v>972</v>
      </c>
      <c r="J5" s="196" t="s">
        <v>1006</v>
      </c>
      <c r="K5" s="196" t="s">
        <v>1007</v>
      </c>
      <c r="L5" s="196" t="s">
        <v>1008</v>
      </c>
      <c r="M5" s="477" t="s">
        <v>961</v>
      </c>
      <c r="N5" s="197" t="s">
        <v>962</v>
      </c>
      <c r="O5" s="196" t="s">
        <v>972</v>
      </c>
      <c r="P5" s="196" t="s">
        <v>1008</v>
      </c>
    </row>
    <row r="6" spans="2:16">
      <c r="M6" s="121"/>
      <c r="O6" s="121"/>
      <c r="P6" s="121"/>
    </row>
    <row r="7" spans="2:16">
      <c r="K7" s="230"/>
      <c r="L7" s="230"/>
      <c r="O7" s="121"/>
      <c r="P7" s="230"/>
    </row>
    <row r="8" spans="2:16" ht="15">
      <c r="B8" s="231">
        <v>1.7</v>
      </c>
      <c r="C8" s="232" t="s">
        <v>34</v>
      </c>
      <c r="K8" s="230"/>
      <c r="L8" s="230"/>
      <c r="O8" s="121"/>
      <c r="P8" s="230"/>
    </row>
    <row r="9" spans="2:16" ht="13.5" thickBot="1">
      <c r="B9" s="198"/>
      <c r="C9" s="233"/>
      <c r="O9" s="121"/>
      <c r="P9" s="121"/>
    </row>
    <row r="10" spans="2:16" ht="29.1" customHeight="1" thickBot="1">
      <c r="B10" s="778" t="s">
        <v>1009</v>
      </c>
      <c r="C10" s="779" t="s">
        <v>1010</v>
      </c>
      <c r="D10" s="234" t="s">
        <v>1011</v>
      </c>
      <c r="E10" s="205">
        <v>1</v>
      </c>
      <c r="F10" s="235">
        <v>1</v>
      </c>
      <c r="G10" s="205" t="s">
        <v>984</v>
      </c>
      <c r="H10" s="236">
        <f>+I10/$I$3</f>
        <v>3713.1380616565971</v>
      </c>
      <c r="I10" s="237">
        <f>O10*M10</f>
        <v>16282662.579927543</v>
      </c>
      <c r="J10" s="236">
        <f>+H10*F10*E10</f>
        <v>3713.1380616565971</v>
      </c>
      <c r="K10" s="238">
        <f>+I10*F10*E10</f>
        <v>16282662.579927543</v>
      </c>
      <c r="L10" s="645">
        <f>P10*N10</f>
        <v>14717808.191142887</v>
      </c>
      <c r="M10" s="436">
        <f>(acero/acero_base)*(trm/trm_base)</f>
        <v>1</v>
      </c>
      <c r="N10" s="421">
        <f>(0.65*ipc/ipc_base+0.35*fac_mano_obra*trm/trm_base)</f>
        <v>1</v>
      </c>
      <c r="O10" s="237">
        <v>16282662.579927543</v>
      </c>
      <c r="P10" s="645">
        <v>14717808.191142887</v>
      </c>
    </row>
    <row r="11" spans="2:16" ht="24.6" customHeight="1" thickBot="1">
      <c r="B11" s="778"/>
      <c r="C11" s="779"/>
      <c r="D11" s="239" t="s">
        <v>1012</v>
      </c>
      <c r="E11" s="213">
        <v>1</v>
      </c>
      <c r="F11" s="240">
        <v>1</v>
      </c>
      <c r="G11" s="213" t="s">
        <v>984</v>
      </c>
      <c r="H11" s="241">
        <f>+I11/$I$3</f>
        <v>2784.8535462424479</v>
      </c>
      <c r="I11" s="242">
        <f t="shared" ref="I11:I13" si="0">O11*M11</f>
        <v>12211996.934945658</v>
      </c>
      <c r="J11" s="241">
        <f>+H11*F11*E11</f>
        <v>2784.8535462424479</v>
      </c>
      <c r="K11" s="243">
        <f>+I11*F11*E11</f>
        <v>12211996.934945658</v>
      </c>
      <c r="L11" s="646">
        <f t="shared" ref="L11:L13" si="1">P11*N11</f>
        <v>11038356.143357165</v>
      </c>
      <c r="M11" s="436">
        <f>(acero/acero_base)*(trm/trm_base)</f>
        <v>1</v>
      </c>
      <c r="N11" s="421">
        <f>(0.65*ipc/ipc_base+0.35*fac_mano_obra*trm/trm_base)</f>
        <v>1</v>
      </c>
      <c r="O11" s="242">
        <v>12211996.934945658</v>
      </c>
      <c r="P11" s="646">
        <v>11038356.143357165</v>
      </c>
    </row>
    <row r="12" spans="2:16" ht="27.75" customHeight="1" thickBot="1">
      <c r="B12" s="778"/>
      <c r="C12" s="779"/>
      <c r="D12" s="239" t="s">
        <v>1013</v>
      </c>
      <c r="E12" s="213">
        <v>1</v>
      </c>
      <c r="F12" s="240">
        <v>1</v>
      </c>
      <c r="G12" s="213" t="s">
        <v>984</v>
      </c>
      <c r="H12" s="241">
        <f>+I12/$I$3</f>
        <v>4744.5653010056521</v>
      </c>
      <c r="I12" s="242">
        <f t="shared" si="0"/>
        <v>20805624.407685194</v>
      </c>
      <c r="J12" s="241">
        <f>+H12*F12*E12</f>
        <v>4744.5653010056521</v>
      </c>
      <c r="K12" s="243">
        <f>+I12*F12*E12</f>
        <v>20805624.407685194</v>
      </c>
      <c r="L12" s="646">
        <f t="shared" si="1"/>
        <v>18806088.244238138</v>
      </c>
      <c r="M12" s="436">
        <f>(acero/acero_base)*(trm/trm_base)</f>
        <v>1</v>
      </c>
      <c r="N12" s="421">
        <f>(0.65*ipc/ipc_base+0.35*fac_mano_obra*trm/trm_base)</f>
        <v>1</v>
      </c>
      <c r="O12" s="242">
        <v>20805624.407685194</v>
      </c>
      <c r="P12" s="646">
        <v>18806088.244238138</v>
      </c>
    </row>
    <row r="13" spans="2:16" ht="26.85" customHeight="1" thickBot="1">
      <c r="B13" s="778"/>
      <c r="C13" s="779"/>
      <c r="D13" s="244" t="s">
        <v>1014</v>
      </c>
      <c r="E13" s="222">
        <v>1</v>
      </c>
      <c r="F13" s="245">
        <v>1</v>
      </c>
      <c r="G13" s="222" t="s">
        <v>984</v>
      </c>
      <c r="H13" s="246">
        <f>+I13/$I$3</f>
        <v>1650.2835829584878</v>
      </c>
      <c r="I13" s="247">
        <f t="shared" si="0"/>
        <v>7236738.9244122421</v>
      </c>
      <c r="J13" s="246">
        <f>+H13*F13*E13</f>
        <v>1650.2835829584878</v>
      </c>
      <c r="K13" s="248">
        <f>+I13*F13*E13</f>
        <v>7236738.9244122421</v>
      </c>
      <c r="L13" s="647">
        <f t="shared" si="1"/>
        <v>6541248.0849523954</v>
      </c>
      <c r="M13" s="436">
        <f>(acero/acero_base)*(trm/trm_base)</f>
        <v>1</v>
      </c>
      <c r="N13" s="421">
        <f>(0.65*ipc/ipc_base+0.35*fac_mano_obra*trm/trm_base)</f>
        <v>1</v>
      </c>
      <c r="O13" s="247">
        <v>7236738.9244122421</v>
      </c>
      <c r="P13" s="647">
        <v>6541248.0849523954</v>
      </c>
    </row>
    <row r="15" spans="2:16" ht="13.5" thickBot="1"/>
    <row r="16" spans="2:16" ht="15">
      <c r="G16" s="780" t="s">
        <v>1015</v>
      </c>
      <c r="H16" s="781"/>
      <c r="I16" s="781"/>
      <c r="J16" s="236">
        <f>SUM(J10:J15)</f>
        <v>12892.840491863184</v>
      </c>
      <c r="K16" s="236">
        <f>SUM(K10:K15)</f>
        <v>56537022.84697064</v>
      </c>
      <c r="L16" s="238">
        <f>SUM(L10:L15)/I3</f>
        <v>11653.76684966514</v>
      </c>
    </row>
    <row r="17" spans="5:17" ht="15.75" thickBot="1">
      <c r="G17" s="782" t="s">
        <v>1016</v>
      </c>
      <c r="H17" s="783"/>
      <c r="I17" s="783"/>
      <c r="J17" s="246">
        <f>J16/0.6</f>
        <v>21488.067486438642</v>
      </c>
      <c r="K17" s="246">
        <f>K16/0.6</f>
        <v>94228371.411617741</v>
      </c>
      <c r="L17" s="612"/>
    </row>
    <row r="19" spans="5:17">
      <c r="J19" s="267"/>
      <c r="K19" s="438"/>
    </row>
    <row r="21" spans="5:17" ht="15">
      <c r="E21" s="249"/>
      <c r="G21" s="250"/>
      <c r="H21" s="250"/>
      <c r="I21" s="250"/>
      <c r="J21" s="250"/>
    </row>
    <row r="26" spans="5:17">
      <c r="Q26" s="362"/>
    </row>
  </sheetData>
  <mergeCells count="4">
    <mergeCell ref="B10:B13"/>
    <mergeCell ref="C10:C13"/>
    <mergeCell ref="G16:I16"/>
    <mergeCell ref="G17:I17"/>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2">
    <tabColor theme="5" tint="0.79998168889431442"/>
  </sheetPr>
  <dimension ref="A1:R45"/>
  <sheetViews>
    <sheetView showGridLines="0" showRowColHeaders="0" topLeftCell="K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3" customWidth="1"/>
    <col min="2" max="2" width="19.140625" customWidth="1"/>
    <col min="3" max="3" width="53" customWidth="1"/>
    <col min="4" max="4" width="10.7109375" customWidth="1"/>
    <col min="5" max="5" width="14" customWidth="1"/>
    <col min="6" max="6" width="6.85546875" customWidth="1"/>
    <col min="7" max="7" width="13.42578125" customWidth="1"/>
    <col min="8" max="8" width="20.140625" style="190" customWidth="1"/>
    <col min="9" max="9" width="21.7109375" customWidth="1"/>
    <col min="10" max="10" width="18.7109375" customWidth="1"/>
    <col min="11" max="11" width="19.85546875" customWidth="1"/>
    <col min="12" max="12" width="17.140625" customWidth="1"/>
    <col min="13" max="14" width="18.42578125" customWidth="1"/>
    <col min="15" max="15" width="15" customWidth="1"/>
    <col min="16" max="17" width="10" customWidth="1"/>
    <col min="18" max="1025" width="9.140625" customWidth="1"/>
  </cols>
  <sheetData>
    <row r="1" spans="1:17" ht="75.75" thickBot="1">
      <c r="A1" s="596" t="s">
        <v>955</v>
      </c>
      <c r="B1" s="597" t="s">
        <v>956</v>
      </c>
      <c r="C1" s="597" t="s">
        <v>957</v>
      </c>
      <c r="D1" s="597" t="s">
        <v>699</v>
      </c>
      <c r="E1" s="597" t="s">
        <v>700</v>
      </c>
      <c r="F1" s="597" t="s">
        <v>701</v>
      </c>
      <c r="G1" s="597" t="s">
        <v>673</v>
      </c>
      <c r="H1" s="598" t="s">
        <v>958</v>
      </c>
      <c r="I1" s="597" t="s">
        <v>964</v>
      </c>
      <c r="J1" s="597" t="s">
        <v>960</v>
      </c>
      <c r="K1" s="597" t="s">
        <v>706</v>
      </c>
      <c r="L1" s="477" t="s">
        <v>961</v>
      </c>
      <c r="M1" s="197" t="s">
        <v>962</v>
      </c>
      <c r="N1" s="597" t="s">
        <v>965</v>
      </c>
      <c r="O1" s="597" t="s">
        <v>966</v>
      </c>
    </row>
    <row r="2" spans="1:17" ht="13.5" thickBot="1">
      <c r="A2" s="607" t="str">
        <f>IF(VLOOKUP(C2,'BD  Materiales y equipos'!$B$3:$F$190,1,FALSE())=C2,"CORRECTO","NO LISTADO")</f>
        <v>CORRECTO</v>
      </c>
      <c r="B2" s="608" t="s">
        <v>411</v>
      </c>
      <c r="C2" s="608" t="s">
        <v>711</v>
      </c>
      <c r="D2" s="609" t="str">
        <f>VLOOKUP(C2,'BD  Materiales y equipos'!$B$3:$F$190,2,FALSE())</f>
        <v>Metro lineal</v>
      </c>
      <c r="E2" s="609">
        <f>VLOOKUP(C2,'BD  Materiales y equipos'!$B$3:$F$190,3,FALSE())</f>
        <v>30</v>
      </c>
      <c r="F2" s="609">
        <f>VLOOKUP(C2,'BD  Materiales y equipos'!$B$3:$F$190,4,FALSE())</f>
        <v>0</v>
      </c>
      <c r="G2" s="610">
        <v>72</v>
      </c>
      <c r="H2" s="611">
        <f>VLOOKUP(C2,'BD  Materiales y equipos'!$B$3:$K$190,8,FALSE())*G2</f>
        <v>1994.673899999802</v>
      </c>
      <c r="I2" s="611">
        <f>N2*H2*L2</f>
        <v>4649.2852153292279</v>
      </c>
      <c r="J2" s="611">
        <f>O2*H2*M2</f>
        <v>5879.9775925826352</v>
      </c>
      <c r="K2" s="609" t="str">
        <f>VLOOKUP(C2,'BD  Materiales y equipos'!$B$3:$L$190,11,FALSE())</f>
        <v>IMPORTADO</v>
      </c>
      <c r="L2" s="436">
        <f t="shared" ref="L2:L44" si="0">+acero/acero_base</f>
        <v>1</v>
      </c>
      <c r="M2" s="421">
        <f t="shared" ref="M2:M20" si="1">(0.65*ipc/ipc_base*trm_base/trm+0.35*fac_mano_obra)</f>
        <v>1</v>
      </c>
      <c r="N2" s="611">
        <f>VLOOKUP(C2,'BD  Materiales y equipos'!$B$3:$K$190,9,FALSE())*0.811905633063426</f>
        <v>2.3308497771639209</v>
      </c>
      <c r="O2" s="611">
        <f>VLOOKUP(C2,'BD  Materiales y equipos'!$B$3:$K$190,10,FALSE())*1.14265904837007</f>
        <v>2.947839039044537</v>
      </c>
      <c r="Q2" s="413"/>
    </row>
    <row r="3" spans="1:17" ht="13.5" thickBot="1">
      <c r="A3" s="584" t="str">
        <f>IF(VLOOKUP(C3,'BD  Materiales y equipos'!$B$3:$F$190,1,FALSE())=C3,"CORRECTO","NO LISTADO")</f>
        <v>CORRECTO</v>
      </c>
      <c r="B3" s="147" t="s">
        <v>411</v>
      </c>
      <c r="C3" s="147" t="s">
        <v>744</v>
      </c>
      <c r="D3" s="191" t="str">
        <f>VLOOKUP(C3,'BD  Materiales y equipos'!$B$3:$F$190,2,FALSE())</f>
        <v>Metro lineal</v>
      </c>
      <c r="E3" s="191" t="str">
        <f>VLOOKUP(C3,'BD  Materiales y equipos'!$B$3:$F$190,3,FALSE())</f>
        <v>STD</v>
      </c>
      <c r="F3" s="191">
        <f>VLOOKUP(C3,'BD  Materiales y equipos'!$B$3:$F$190,4,FALSE())</f>
        <v>0</v>
      </c>
      <c r="G3" s="133">
        <v>72</v>
      </c>
      <c r="H3" s="194">
        <f>VLOOKUP(C3,'BD  Materiales y equipos'!$B$3:$K$190,8,FALSE())*G3</f>
        <v>1580.0310232901347</v>
      </c>
      <c r="I3" s="194">
        <f t="shared" ref="I3:I44" si="2">N3*H3*L3</f>
        <v>3712.4889405987033</v>
      </c>
      <c r="J3" s="194">
        <f t="shared" ref="J3:J44" si="3">O3*H3*M3</f>
        <v>5450.0480836705792</v>
      </c>
      <c r="K3" s="191" t="str">
        <f>VLOOKUP(C3,'BD  Materiales y equipos'!$B$3:$L$190,11,FALSE())</f>
        <v>IMPORTADO</v>
      </c>
      <c r="L3" s="436">
        <f t="shared" si="0"/>
        <v>1</v>
      </c>
      <c r="M3" s="421">
        <f t="shared" si="1"/>
        <v>1</v>
      </c>
      <c r="N3" s="194">
        <f>VLOOKUP(C3,'BD  Materiales y equipos'!$B$3:$K$190,9,FALSE())*0.811905633063426</f>
        <v>2.3496304097042997</v>
      </c>
      <c r="O3" s="194">
        <f>VLOOKUP(C3,'BD  Materiales y equipos'!$B$3:$K$190,10,FALSE())*1.14265904837007</f>
        <v>3.4493297937415299</v>
      </c>
    </row>
    <row r="4" spans="1:17" ht="13.5" thickBot="1">
      <c r="A4" s="584" t="str">
        <f>IF(VLOOKUP(C4,'BD  Materiales y equipos'!$B$3:$F$190,1,FALSE())=C4,"CORRECTO","NO LISTADO")</f>
        <v>CORRECTO</v>
      </c>
      <c r="B4" s="147" t="s">
        <v>411</v>
      </c>
      <c r="C4" s="147" t="s">
        <v>745</v>
      </c>
      <c r="D4" s="191" t="str">
        <f>VLOOKUP(C4,'BD  Materiales y equipos'!$B$3:$F$190,2,FALSE())</f>
        <v>Metro lineal</v>
      </c>
      <c r="E4" s="191">
        <f>VLOOKUP(C4,'BD  Materiales y equipos'!$B$3:$F$190,3,FALSE())</f>
        <v>40</v>
      </c>
      <c r="F4" s="191">
        <f>VLOOKUP(C4,'BD  Materiales y equipos'!$B$3:$F$190,4,FALSE())</f>
        <v>0</v>
      </c>
      <c r="G4" s="133">
        <v>96</v>
      </c>
      <c r="H4" s="194">
        <f>VLOOKUP(C4,'BD  Materiales y equipos'!$B$3:$K$190,8,FALSE())*G4</f>
        <v>1720.4711591900091</v>
      </c>
      <c r="I4" s="194">
        <f t="shared" si="2"/>
        <v>3076.3927046705876</v>
      </c>
      <c r="J4" s="194">
        <f t="shared" si="3"/>
        <v>5934.4724286671253</v>
      </c>
      <c r="K4" s="191" t="str">
        <f>VLOOKUP(C4,'BD  Materiales y equipos'!$B$3:$L$190,11,FALSE())</f>
        <v>IMPORTADO</v>
      </c>
      <c r="L4" s="436">
        <f t="shared" si="0"/>
        <v>1</v>
      </c>
      <c r="M4" s="421">
        <f t="shared" si="1"/>
        <v>1</v>
      </c>
      <c r="N4" s="194">
        <f>VLOOKUP(C4,'BD  Materiales y equipos'!$B$3:$K$190,9,FALSE())*0.811905633063426</f>
        <v>1.7881105929836922</v>
      </c>
      <c r="O4" s="194">
        <f>VLOOKUP(C4,'BD  Materiales y equipos'!$B$3:$K$190,10,FALSE())*1.14265904837007</f>
        <v>3.4493297937415299</v>
      </c>
    </row>
    <row r="5" spans="1:17" ht="13.5" thickBot="1">
      <c r="A5" s="584" t="str">
        <f>IF(VLOOKUP(C5,'BD  Materiales y equipos'!$B$3:$F$190,1,FALSE())=C5,"CORRECTO","NO LISTADO")</f>
        <v>CORRECTO</v>
      </c>
      <c r="B5" s="147" t="s">
        <v>411</v>
      </c>
      <c r="C5" s="147" t="s">
        <v>746</v>
      </c>
      <c r="D5" s="191" t="str">
        <f>VLOOKUP(C5,'BD  Materiales y equipos'!$B$3:$F$190,2,FALSE())</f>
        <v>Metro lineal</v>
      </c>
      <c r="E5" s="191">
        <f>VLOOKUP(C5,'BD  Materiales y equipos'!$B$3:$F$190,3,FALSE())</f>
        <v>40</v>
      </c>
      <c r="F5" s="191">
        <f>VLOOKUP(C5,'BD  Materiales y equipos'!$B$3:$F$190,4,FALSE())</f>
        <v>0</v>
      </c>
      <c r="G5" s="133">
        <v>96</v>
      </c>
      <c r="H5" s="194">
        <f>VLOOKUP(C5,'BD  Materiales y equipos'!$B$3:$K$190,8,FALSE())*G5</f>
        <v>1213.3671064012606</v>
      </c>
      <c r="I5" s="194">
        <f t="shared" si="2"/>
        <v>2174.2286752927603</v>
      </c>
      <c r="J5" s="194">
        <f t="shared" si="3"/>
        <v>4185.3033108558175</v>
      </c>
      <c r="K5" s="191" t="str">
        <f>VLOOKUP(C5,'BD  Materiales y equipos'!$B$3:$L$190,11,FALSE())</f>
        <v>IMPORTADO</v>
      </c>
      <c r="L5" s="436">
        <f t="shared" si="0"/>
        <v>1</v>
      </c>
      <c r="M5" s="421">
        <f t="shared" si="1"/>
        <v>1</v>
      </c>
      <c r="N5" s="194">
        <f>VLOOKUP(C5,'BD  Materiales y equipos'!$B$3:$K$190,9,FALSE())*0.811905633063426</f>
        <v>1.7918968330543672</v>
      </c>
      <c r="O5" s="194">
        <f>VLOOKUP(C5,'BD  Materiales y equipos'!$B$3:$K$190,10,FALSE())*1.14265904837007</f>
        <v>3.4493297937415299</v>
      </c>
    </row>
    <row r="6" spans="1:17" ht="13.5" thickBot="1">
      <c r="A6" s="584" t="str">
        <f>IF(VLOOKUP(C6,'BD  Materiales y equipos'!$B$3:$F$190,1,FALSE())=C6,"CORRECTO","NO LISTADO")</f>
        <v>CORRECTO</v>
      </c>
      <c r="B6" s="147" t="s">
        <v>411</v>
      </c>
      <c r="C6" s="147" t="s">
        <v>712</v>
      </c>
      <c r="D6" s="191" t="str">
        <f>VLOOKUP(C6,'BD  Materiales y equipos'!$B$3:$F$190,2,FALSE())</f>
        <v>Metro lineal</v>
      </c>
      <c r="E6" s="191">
        <f>VLOOKUP(C6,'BD  Materiales y equipos'!$B$3:$F$190,3,FALSE())</f>
        <v>40</v>
      </c>
      <c r="F6" s="191">
        <f>VLOOKUP(C6,'BD  Materiales y equipos'!$B$3:$F$190,4,FALSE())</f>
        <v>0</v>
      </c>
      <c r="G6" s="133">
        <v>36</v>
      </c>
      <c r="H6" s="194">
        <f>VLOOKUP(C6,'BD  Materiales y equipos'!$B$3:$K$190,8,FALSE())*G6</f>
        <v>172.02591740792167</v>
      </c>
      <c r="I6" s="194">
        <f t="shared" si="2"/>
        <v>537.79045401196265</v>
      </c>
      <c r="J6" s="194">
        <f t="shared" si="3"/>
        <v>713.93280398509421</v>
      </c>
      <c r="K6" s="191" t="str">
        <f>VLOOKUP(C6,'BD  Materiales y equipos'!$B$3:$L$190,11,FALSE())</f>
        <v>IMPORTADO</v>
      </c>
      <c r="L6" s="436">
        <f t="shared" si="0"/>
        <v>1</v>
      </c>
      <c r="M6" s="421">
        <f t="shared" si="1"/>
        <v>1</v>
      </c>
      <c r="N6" s="194">
        <f>VLOOKUP(C6,'BD  Materiales y equipos'!$B$3:$K$190,9,FALSE())*0.811905633063426</f>
        <v>3.1262176195038727</v>
      </c>
      <c r="O6" s="194">
        <f>VLOOKUP(C6,'BD  Materiales y equipos'!$B$3:$K$190,10,FALSE())*1.14265904837007</f>
        <v>4.1501467612706255</v>
      </c>
    </row>
    <row r="7" spans="1:17" ht="13.5" thickBot="1">
      <c r="A7" s="584" t="str">
        <f>IF(VLOOKUP(C7,'BD  Materiales y equipos'!$B$3:$F$190,1,FALSE())=C7,"CORRECTO","NO LISTADO")</f>
        <v>CORRECTO</v>
      </c>
      <c r="B7" s="147" t="s">
        <v>411</v>
      </c>
      <c r="C7" s="147" t="s">
        <v>713</v>
      </c>
      <c r="D7" s="191" t="str">
        <f>VLOOKUP(C7,'BD  Materiales y equipos'!$B$3:$F$190,2,FALSE())</f>
        <v>Metro lineal</v>
      </c>
      <c r="E7" s="191">
        <f>VLOOKUP(C7,'BD  Materiales y equipos'!$B$3:$F$190,3,FALSE())</f>
        <v>40</v>
      </c>
      <c r="F7" s="191">
        <f>VLOOKUP(C7,'BD  Materiales y equipos'!$B$3:$F$190,4,FALSE())</f>
        <v>0</v>
      </c>
      <c r="G7" s="133">
        <v>120</v>
      </c>
      <c r="H7" s="194">
        <f>VLOOKUP(C7,'BD  Materiales y equipos'!$B$3:$K$190,8,FALSE())*G7</f>
        <v>194.07236893031705</v>
      </c>
      <c r="I7" s="194">
        <f t="shared" si="2"/>
        <v>462.6154443113661</v>
      </c>
      <c r="J7" s="194">
        <f t="shared" si="3"/>
        <v>805.42881336827327</v>
      </c>
      <c r="K7" s="191" t="str">
        <f>VLOOKUP(C7,'BD  Materiales y equipos'!$B$3:$L$190,11,FALSE())</f>
        <v>IMPORTADO</v>
      </c>
      <c r="L7" s="436">
        <f t="shared" si="0"/>
        <v>1</v>
      </c>
      <c r="M7" s="421">
        <f t="shared" si="1"/>
        <v>1</v>
      </c>
      <c r="N7" s="194">
        <f>VLOOKUP(C7,'BD  Materiales y equipos'!$B$3:$K$190,9,FALSE())*0.811905633063426</f>
        <v>2.383726477196098</v>
      </c>
      <c r="O7" s="194">
        <f>VLOOKUP(C7,'BD  Materiales y equipos'!$B$3:$K$190,10,FALSE())*1.14265904837007</f>
        <v>4.1501467612706255</v>
      </c>
    </row>
    <row r="8" spans="1:17" ht="13.5" thickBot="1">
      <c r="A8" s="584" t="str">
        <f>IF(VLOOKUP(C8,'BD  Materiales y equipos'!$B$3:$F$190,1,FALSE())=C8,"CORRECTO","NO LISTADO")</f>
        <v>CORRECTO</v>
      </c>
      <c r="B8" s="147" t="s">
        <v>411</v>
      </c>
      <c r="C8" s="147" t="s">
        <v>718</v>
      </c>
      <c r="D8" s="191" t="str">
        <f>VLOOKUP(C8,'BD  Materiales y equipos'!$B$3:$F$190,2,FALSE())</f>
        <v>Unidad</v>
      </c>
      <c r="E8" s="191" t="str">
        <f>VLOOKUP(C8,'BD  Materiales y equipos'!$B$3:$F$190,3,FALSE())</f>
        <v>STD</v>
      </c>
      <c r="F8" s="191">
        <f>VLOOKUP(C8,'BD  Materiales y equipos'!$B$3:$F$190,4,FALSE())</f>
        <v>0</v>
      </c>
      <c r="G8" s="133">
        <v>1</v>
      </c>
      <c r="H8" s="194">
        <f>VLOOKUP(C8,'BD  Materiales y equipos'!$B$3:$K$190,8,FALSE())*G8</f>
        <v>18.307034211931651</v>
      </c>
      <c r="I8" s="194">
        <f t="shared" si="2"/>
        <v>572.00472124749103</v>
      </c>
      <c r="J8" s="194">
        <f t="shared" si="3"/>
        <v>188.24356838914497</v>
      </c>
      <c r="K8" s="191" t="str">
        <f>VLOOKUP(C8,'BD  Materiales y equipos'!$B$3:$L$190,11,FALSE())</f>
        <v>IMPORTADO</v>
      </c>
      <c r="L8" s="436">
        <f t="shared" si="0"/>
        <v>1</v>
      </c>
      <c r="M8" s="421">
        <f t="shared" si="1"/>
        <v>1</v>
      </c>
      <c r="N8" s="194">
        <f>VLOOKUP(C8,'BD  Materiales y equipos'!$B$3:$K$190,9,FALSE())*0.811905633063426</f>
        <v>31.245078510569762</v>
      </c>
      <c r="O8" s="194">
        <f>VLOOKUP(C8,'BD  Materiales y equipos'!$B$3:$K$190,10,FALSE())*1.14265904837007</f>
        <v>10.282581340589662</v>
      </c>
    </row>
    <row r="9" spans="1:17" ht="13.5" thickBot="1">
      <c r="A9" s="584" t="str">
        <f>IF(VLOOKUP(C9,'BD  Materiales y equipos'!$B$3:$F$190,1,FALSE())=C9,"CORRECTO","NO LISTADO")</f>
        <v>CORRECTO</v>
      </c>
      <c r="B9" s="147" t="s">
        <v>411</v>
      </c>
      <c r="C9" s="147" t="s">
        <v>747</v>
      </c>
      <c r="D9" s="191" t="str">
        <f>VLOOKUP(C9,'BD  Materiales y equipos'!$B$3:$F$190,2,FALSE())</f>
        <v>Unidad</v>
      </c>
      <c r="E9" s="191" t="str">
        <f>VLOOKUP(C9,'BD  Materiales y equipos'!$B$3:$F$190,3,FALSE())</f>
        <v>STD</v>
      </c>
      <c r="F9" s="191">
        <f>VLOOKUP(C9,'BD  Materiales y equipos'!$B$3:$F$190,4,FALSE())</f>
        <v>0</v>
      </c>
      <c r="G9" s="133">
        <v>3</v>
      </c>
      <c r="H9" s="194">
        <f>VLOOKUP(C9,'BD  Materiales y equipos'!$B$3:$K$190,8,FALSE())*G9</f>
        <v>33.114194236288135</v>
      </c>
      <c r="I9" s="194">
        <f t="shared" si="2"/>
        <v>1358.9328676646371</v>
      </c>
      <c r="J9" s="194">
        <f t="shared" si="3"/>
        <v>832.2911855477056</v>
      </c>
      <c r="K9" s="191" t="str">
        <f>VLOOKUP(C9,'BD  Materiales y equipos'!$B$3:$L$190,11,FALSE())</f>
        <v>IMPORTADO</v>
      </c>
      <c r="L9" s="436">
        <f t="shared" si="0"/>
        <v>1</v>
      </c>
      <c r="M9" s="421">
        <f t="shared" si="1"/>
        <v>1</v>
      </c>
      <c r="N9" s="194">
        <f>VLOOKUP(C9,'BD  Materiales y equipos'!$B$3:$K$190,9,FALSE())*0.811905633063426</f>
        <v>41.037775461721871</v>
      </c>
      <c r="O9" s="194">
        <f>VLOOKUP(C9,'BD  Materiales y equipos'!$B$3:$K$190,10,FALSE())*1.14265904837007</f>
        <v>25.133970635336816</v>
      </c>
    </row>
    <row r="10" spans="1:17" ht="13.5" thickBot="1">
      <c r="A10" s="584" t="str">
        <f>IF(VLOOKUP(C10,'BD  Materiales y equipos'!$B$3:$F$190,1,FALSE())=C10,"CORRECTO","NO LISTADO")</f>
        <v>CORRECTO</v>
      </c>
      <c r="B10" s="147" t="s">
        <v>411</v>
      </c>
      <c r="C10" s="147" t="s">
        <v>748</v>
      </c>
      <c r="D10" s="191" t="str">
        <f>VLOOKUP(C10,'BD  Materiales y equipos'!$B$3:$F$190,2,FALSE())</f>
        <v>Unidad</v>
      </c>
      <c r="E10" s="191" t="str">
        <f>VLOOKUP(C10,'BD  Materiales y equipos'!$B$3:$F$190,3,FALSE())</f>
        <v>STD</v>
      </c>
      <c r="F10" s="191">
        <f>VLOOKUP(C10,'BD  Materiales y equipos'!$B$3:$F$190,4,FALSE())</f>
        <v>0</v>
      </c>
      <c r="G10" s="133">
        <v>12</v>
      </c>
      <c r="H10" s="194">
        <f>VLOOKUP(C10,'BD  Materiales y equipos'!$B$3:$K$190,8,FALSE())*G10</f>
        <v>83.996980501804046</v>
      </c>
      <c r="I10" s="194">
        <f t="shared" si="2"/>
        <v>4438.2169188621629</v>
      </c>
      <c r="J10" s="194">
        <f t="shared" si="3"/>
        <v>1016.6437275018292</v>
      </c>
      <c r="K10" s="191" t="str">
        <f>VLOOKUP(C10,'BD  Materiales y equipos'!$B$3:$L$190,11,FALSE())</f>
        <v>IMPORTADO</v>
      </c>
      <c r="L10" s="436">
        <f t="shared" si="0"/>
        <v>1</v>
      </c>
      <c r="M10" s="421">
        <f t="shared" si="1"/>
        <v>1</v>
      </c>
      <c r="N10" s="194">
        <f>VLOOKUP(C10,'BD  Materiales y equipos'!$B$3:$K$190,9,FALSE())*0.811905633063426</f>
        <v>52.837815030349113</v>
      </c>
      <c r="O10" s="194">
        <f>VLOOKUP(C10,'BD  Materiales y equipos'!$B$3:$K$190,10,FALSE())*1.14265904837007</f>
        <v>12.103336589343163</v>
      </c>
    </row>
    <row r="11" spans="1:17" ht="13.5" thickBot="1">
      <c r="A11" s="584" t="str">
        <f>IF(VLOOKUP(C11,'BD  Materiales y equipos'!$B$3:$F$190,1,FALSE())=C11,"CORRECTO","NO LISTADO")</f>
        <v>CORRECTO</v>
      </c>
      <c r="B11" s="147" t="s">
        <v>411</v>
      </c>
      <c r="C11" s="147" t="s">
        <v>749</v>
      </c>
      <c r="D11" s="191" t="str">
        <f>VLOOKUP(C11,'BD  Materiales y equipos'!$B$3:$F$190,2,FALSE())</f>
        <v>Unidad</v>
      </c>
      <c r="E11" s="191" t="str">
        <f>VLOOKUP(C11,'BD  Materiales y equipos'!$B$3:$F$190,3,FALSE())</f>
        <v>STD</v>
      </c>
      <c r="F11" s="191">
        <f>VLOOKUP(C11,'BD  Materiales y equipos'!$B$3:$F$190,4,FALSE())</f>
        <v>0</v>
      </c>
      <c r="G11" s="133">
        <v>12</v>
      </c>
      <c r="H11" s="194">
        <f>VLOOKUP(C11,'BD  Materiales y equipos'!$B$3:$K$190,8,FALSE())*G11</f>
        <v>51.690449539571723</v>
      </c>
      <c r="I11" s="194">
        <f t="shared" si="2"/>
        <v>3131.328288682555</v>
      </c>
      <c r="J11" s="194">
        <f t="shared" si="3"/>
        <v>659.22877937786268</v>
      </c>
      <c r="K11" s="191" t="str">
        <f>VLOOKUP(C11,'BD  Materiales y equipos'!$B$3:$L$190,11,FALSE())</f>
        <v>IMPORTADO</v>
      </c>
      <c r="L11" s="436">
        <f t="shared" si="0"/>
        <v>1</v>
      </c>
      <c r="M11" s="421">
        <f t="shared" si="1"/>
        <v>1</v>
      </c>
      <c r="N11" s="194">
        <f>VLOOKUP(C11,'BD  Materiales y equipos'!$B$3:$K$190,9,FALSE())*0.811905633063426</f>
        <v>60.578468877221901</v>
      </c>
      <c r="O11" s="194">
        <f>VLOOKUP(C11,'BD  Materiales y equipos'!$B$3:$K$190,10,FALSE())*1.14265904837007</f>
        <v>12.753396135067248</v>
      </c>
    </row>
    <row r="12" spans="1:17" ht="13.5" thickBot="1">
      <c r="A12" s="584" t="str">
        <f>IF(VLOOKUP(C12,'BD  Materiales y equipos'!$B$3:$F$190,1,FALSE())=C12,"CORRECTO","NO LISTADO")</f>
        <v>CORRECTO</v>
      </c>
      <c r="B12" s="147" t="s">
        <v>411</v>
      </c>
      <c r="C12" s="147" t="s">
        <v>719</v>
      </c>
      <c r="D12" s="191" t="str">
        <f>VLOOKUP(C12,'BD  Materiales y equipos'!$B$3:$F$190,2,FALSE())</f>
        <v>Unidad</v>
      </c>
      <c r="E12" s="191" t="str">
        <f>VLOOKUP(C12,'BD  Materiales y equipos'!$B$3:$F$190,3,FALSE())</f>
        <v>STD</v>
      </c>
      <c r="F12" s="191">
        <f>VLOOKUP(C12,'BD  Materiales y equipos'!$B$3:$F$190,4,FALSE())</f>
        <v>0</v>
      </c>
      <c r="G12" s="133">
        <v>12</v>
      </c>
      <c r="H12" s="194">
        <f>VLOOKUP(C12,'BD  Materiales y equipos'!$B$3:$K$190,8,FALSE())*G12</f>
        <v>9.6919592886696968</v>
      </c>
      <c r="I12" s="194">
        <f t="shared" si="2"/>
        <v>1182.5607295209261</v>
      </c>
      <c r="J12" s="194">
        <f t="shared" si="3"/>
        <v>193.46168970876326</v>
      </c>
      <c r="K12" s="191" t="str">
        <f>VLOOKUP(C12,'BD  Materiales y equipos'!$B$3:$L$190,11,FALSE())</f>
        <v>IMPORTADO</v>
      </c>
      <c r="L12" s="436">
        <f t="shared" si="0"/>
        <v>1</v>
      </c>
      <c r="M12" s="421">
        <f t="shared" si="1"/>
        <v>1</v>
      </c>
      <c r="N12" s="194">
        <f>VLOOKUP(C12,'BD  Materiales y equipos'!$B$3:$K$190,9,FALSE())*0.811905633063426</f>
        <v>122.01461998539229</v>
      </c>
      <c r="O12" s="194">
        <f>VLOOKUP(C12,'BD  Materiales y equipos'!$B$3:$K$190,10,FALSE())*1.14265904837007</f>
        <v>19.961050593240525</v>
      </c>
    </row>
    <row r="13" spans="1:17" ht="13.5" thickBot="1">
      <c r="A13" s="584" t="str">
        <f>IF(VLOOKUP(C13,'BD  Materiales y equipos'!$B$3:$F$190,1,FALSE())=C13,"CORRECTO","NO LISTADO")</f>
        <v>CORRECTO</v>
      </c>
      <c r="B13" s="147" t="s">
        <v>411</v>
      </c>
      <c r="C13" s="147" t="s">
        <v>720</v>
      </c>
      <c r="D13" s="191" t="str">
        <f>VLOOKUP(C13,'BD  Materiales y equipos'!$B$3:$F$190,2,FALSE())</f>
        <v>Unidad</v>
      </c>
      <c r="E13" s="191" t="str">
        <f>VLOOKUP(C13,'BD  Materiales y equipos'!$B$3:$F$190,3,FALSE())</f>
        <v>STD</v>
      </c>
      <c r="F13" s="191">
        <f>VLOOKUP(C13,'BD  Materiales y equipos'!$B$3:$F$190,4,FALSE())</f>
        <v>0</v>
      </c>
      <c r="G13" s="133">
        <v>18</v>
      </c>
      <c r="H13" s="194">
        <f>VLOOKUP(C13,'BD  Materiales y equipos'!$B$3:$K$190,8,FALSE())*G13</f>
        <v>2.4229898221674246</v>
      </c>
      <c r="I13" s="194">
        <f t="shared" si="2"/>
        <v>598.508731077829</v>
      </c>
      <c r="J13" s="194">
        <f t="shared" si="3"/>
        <v>120.76251643263885</v>
      </c>
      <c r="K13" s="191" t="str">
        <f>VLOOKUP(C13,'BD  Materiales y equipos'!$B$3:$L$190,11,FALSE())</f>
        <v>IMPORTADO</v>
      </c>
      <c r="L13" s="436">
        <f t="shared" si="0"/>
        <v>1</v>
      </c>
      <c r="M13" s="421">
        <f t="shared" si="1"/>
        <v>1</v>
      </c>
      <c r="N13" s="194">
        <f>VLOOKUP(C13,'BD  Materiales y equipos'!$B$3:$K$190,9,FALSE())*0.811905633063426</f>
        <v>247.01248251321505</v>
      </c>
      <c r="O13" s="194">
        <f>VLOOKUP(C13,'BD  Materiales y equipos'!$B$3:$K$190,10,FALSE())*1.14265904837007</f>
        <v>49.840290424585348</v>
      </c>
    </row>
    <row r="14" spans="1:17" ht="13.5" thickBot="1">
      <c r="A14" s="584" t="str">
        <f>IF(VLOOKUP(C14,'BD  Materiales y equipos'!$B$3:$F$190,1,FALSE())=C14,"CORRECTO","NO LISTADO")</f>
        <v>CORRECTO</v>
      </c>
      <c r="B14" s="147" t="s">
        <v>411</v>
      </c>
      <c r="C14" s="147" t="s">
        <v>723</v>
      </c>
      <c r="D14" s="191" t="str">
        <f>VLOOKUP(C14,'BD  Materiales y equipos'!$B$3:$F$190,2,FALSE())</f>
        <v>Unidad</v>
      </c>
      <c r="E14" s="191">
        <f>VLOOKUP(C14,'BD  Materiales y equipos'!$B$3:$F$190,3,FALSE())</f>
        <v>0</v>
      </c>
      <c r="F14" s="191" t="str">
        <f>VLOOKUP(C14,'BD  Materiales y equipos'!$B$3:$F$190,4,FALSE())</f>
        <v>150#</v>
      </c>
      <c r="G14" s="133">
        <v>2</v>
      </c>
      <c r="H14" s="194">
        <f>VLOOKUP(C14,'BD  Materiales y equipos'!$B$3:$K$190,8,FALSE())*G14</f>
        <v>37.960173880622982</v>
      </c>
      <c r="I14" s="194">
        <f t="shared" si="2"/>
        <v>722.35474064868254</v>
      </c>
      <c r="J14" s="194">
        <f t="shared" si="3"/>
        <v>302.57607776077225</v>
      </c>
      <c r="K14" s="191" t="str">
        <f>VLOOKUP(C14,'BD  Materiales y equipos'!$B$3:$L$190,11,FALSE())</f>
        <v>IMPORTADO</v>
      </c>
      <c r="L14" s="436">
        <f t="shared" si="0"/>
        <v>1</v>
      </c>
      <c r="M14" s="421">
        <f t="shared" si="1"/>
        <v>1</v>
      </c>
      <c r="N14" s="194">
        <f>VLOOKUP(C14,'BD  Materiales y equipos'!$B$3:$K$190,9,FALSE())*0.811905633063426</f>
        <v>19.029279025969196</v>
      </c>
      <c r="O14" s="194">
        <f>VLOOKUP(C14,'BD  Materiales y equipos'!$B$3:$K$190,10,FALSE())*1.14265904837007</f>
        <v>7.9708822913275483</v>
      </c>
    </row>
    <row r="15" spans="1:17" ht="13.5" thickBot="1">
      <c r="A15" s="584" t="str">
        <f>IF(VLOOKUP(C15,'BD  Materiales y equipos'!$B$3:$F$190,1,FALSE())=C15,"CORRECTO","NO LISTADO")</f>
        <v>CORRECTO</v>
      </c>
      <c r="B15" s="147" t="s">
        <v>411</v>
      </c>
      <c r="C15" s="147" t="s">
        <v>750</v>
      </c>
      <c r="D15" s="191" t="str">
        <f>VLOOKUP(C15,'BD  Materiales y equipos'!$B$3:$F$190,2,FALSE())</f>
        <v>Unidad</v>
      </c>
      <c r="E15" s="191">
        <f>VLOOKUP(C15,'BD  Materiales y equipos'!$B$3:$F$190,3,FALSE())</f>
        <v>0</v>
      </c>
      <c r="F15" s="191" t="str">
        <f>VLOOKUP(C15,'BD  Materiales y equipos'!$B$3:$F$190,4,FALSE())</f>
        <v>300#</v>
      </c>
      <c r="G15" s="133">
        <v>6</v>
      </c>
      <c r="H15" s="194">
        <f>VLOOKUP(C15,'BD  Materiales y equipos'!$B$3:$K$190,8,FALSE())*G15</f>
        <v>113.07285836781313</v>
      </c>
      <c r="I15" s="194">
        <f t="shared" si="2"/>
        <v>1716.0141637424745</v>
      </c>
      <c r="J15" s="194">
        <f t="shared" si="3"/>
        <v>716.01100034214244</v>
      </c>
      <c r="K15" s="191" t="str">
        <f>VLOOKUP(C15,'BD  Materiales y equipos'!$B$3:$L$190,11,FALSE())</f>
        <v>IMPORTADO</v>
      </c>
      <c r="L15" s="436">
        <f t="shared" si="0"/>
        <v>1</v>
      </c>
      <c r="M15" s="421">
        <f t="shared" si="1"/>
        <v>1</v>
      </c>
      <c r="N15" s="194">
        <f>VLOOKUP(C15,'BD  Materiales y equipos'!$B$3:$K$190,9,FALSE())*0.811905633063426</f>
        <v>15.176180990848183</v>
      </c>
      <c r="O15" s="194">
        <f>VLOOKUP(C15,'BD  Materiales y equipos'!$B$3:$K$190,10,FALSE())*1.14265904837007</f>
        <v>6.3322976944037288</v>
      </c>
    </row>
    <row r="16" spans="1:17" ht="13.5" thickBot="1">
      <c r="A16" s="584" t="str">
        <f>IF(VLOOKUP(C16,'BD  Materiales y equipos'!$B$3:$F$190,1,FALSE())=C16,"CORRECTO","NO LISTADO")</f>
        <v>CORRECTO</v>
      </c>
      <c r="B16" s="147" t="s">
        <v>411</v>
      </c>
      <c r="C16" s="147" t="s">
        <v>752</v>
      </c>
      <c r="D16" s="191" t="str">
        <f>VLOOKUP(C16,'BD  Materiales y equipos'!$B$3:$F$190,2,FALSE())</f>
        <v>Unidad</v>
      </c>
      <c r="E16" s="191">
        <f>VLOOKUP(C16,'BD  Materiales y equipos'!$B$3:$F$190,3,FALSE())</f>
        <v>0</v>
      </c>
      <c r="F16" s="191" t="str">
        <f>VLOOKUP(C16,'BD  Materiales y equipos'!$B$3:$F$190,4,FALSE())</f>
        <v>150#</v>
      </c>
      <c r="G16" s="133">
        <v>9</v>
      </c>
      <c r="H16" s="194">
        <f>VLOOKUP(C16,'BD  Materiales y equipos'!$B$3:$K$190,8,FALSE())*G16</f>
        <v>67.843715020687895</v>
      </c>
      <c r="I16" s="194">
        <f t="shared" si="2"/>
        <v>379.48923166166679</v>
      </c>
      <c r="J16" s="194">
        <f t="shared" si="3"/>
        <v>429.60660020528559</v>
      </c>
      <c r="K16" s="191" t="str">
        <f>VLOOKUP(C16,'BD  Materiales y equipos'!$B$3:$L$190,11,FALSE())</f>
        <v>IMPORTADO</v>
      </c>
      <c r="L16" s="436">
        <f t="shared" si="0"/>
        <v>1</v>
      </c>
      <c r="M16" s="421">
        <f t="shared" si="1"/>
        <v>1</v>
      </c>
      <c r="N16" s="194">
        <f>VLOOKUP(C16,'BD  Materiales y equipos'!$B$3:$K$190,9,FALSE())*0.811905633063426</f>
        <v>5.5935797670564975</v>
      </c>
      <c r="O16" s="194">
        <f>VLOOKUP(C16,'BD  Materiales y equipos'!$B$3:$K$190,10,FALSE())*1.14265904837007</f>
        <v>6.3322976944037288</v>
      </c>
    </row>
    <row r="17" spans="1:15" ht="13.5" thickBot="1">
      <c r="A17" s="584" t="str">
        <f>IF(VLOOKUP(C17,'BD  Materiales y equipos'!$B$3:$F$190,1,FALSE())=C17,"CORRECTO","NO LISTADO")</f>
        <v>CORRECTO</v>
      </c>
      <c r="B17" s="147" t="s">
        <v>411</v>
      </c>
      <c r="C17" s="147" t="s">
        <v>753</v>
      </c>
      <c r="D17" s="191" t="str">
        <f>VLOOKUP(C17,'BD  Materiales y equipos'!$B$3:$F$190,2,FALSE())</f>
        <v>Unidad</v>
      </c>
      <c r="E17" s="191">
        <f>VLOOKUP(C17,'BD  Materiales y equipos'!$B$3:$F$190,3,FALSE())</f>
        <v>0</v>
      </c>
      <c r="F17" s="191" t="str">
        <f>VLOOKUP(C17,'BD  Materiales y equipos'!$B$3:$F$190,4,FALSE())</f>
        <v>300#</v>
      </c>
      <c r="G17" s="133">
        <v>15</v>
      </c>
      <c r="H17" s="194">
        <f>VLOOKUP(C17,'BD  Materiales y equipos'!$B$3:$K$190,8,FALSE())*G17</f>
        <v>141.34107295976642</v>
      </c>
      <c r="I17" s="194">
        <f t="shared" si="2"/>
        <v>2472.10128053886</v>
      </c>
      <c r="J17" s="194">
        <f t="shared" si="3"/>
        <v>895.01375042767813</v>
      </c>
      <c r="K17" s="191" t="str">
        <f>VLOOKUP(C17,'BD  Materiales y equipos'!$B$3:$L$190,11,FALSE())</f>
        <v>IMPORTADO</v>
      </c>
      <c r="L17" s="436">
        <f t="shared" si="0"/>
        <v>1</v>
      </c>
      <c r="M17" s="421">
        <f t="shared" si="1"/>
        <v>1</v>
      </c>
      <c r="N17" s="194">
        <f>VLOOKUP(C17,'BD  Materiales y equipos'!$B$3:$K$190,9,FALSE())*0.811905633063426</f>
        <v>17.490324848761819</v>
      </c>
      <c r="O17" s="194">
        <f>VLOOKUP(C17,'BD  Materiales y equipos'!$B$3:$K$190,10,FALSE())*1.14265904837007</f>
        <v>6.3322976944037288</v>
      </c>
    </row>
    <row r="18" spans="1:15" ht="13.5" thickBot="1">
      <c r="A18" s="584" t="str">
        <f>IF(VLOOKUP(C18,'BD  Materiales y equipos'!$B$3:$F$190,1,FALSE())=C18,"CORRECTO","NO LISTADO")</f>
        <v>CORRECTO</v>
      </c>
      <c r="B18" s="147" t="s">
        <v>411</v>
      </c>
      <c r="C18" s="147" t="s">
        <v>724</v>
      </c>
      <c r="D18" s="191" t="str">
        <f>VLOOKUP(C18,'BD  Materiales y equipos'!$B$3:$F$190,2,FALSE())</f>
        <v>Unidad</v>
      </c>
      <c r="E18" s="191">
        <f>VLOOKUP(C18,'BD  Materiales y equipos'!$B$3:$F$190,3,FALSE())</f>
        <v>0</v>
      </c>
      <c r="F18" s="191" t="str">
        <f>VLOOKUP(C18,'BD  Materiales y equipos'!$B$3:$F$190,4,FALSE())</f>
        <v>150#</v>
      </c>
      <c r="G18" s="133">
        <v>9</v>
      </c>
      <c r="H18" s="194">
        <f>VLOOKUP(C18,'BD  Materiales y equipos'!$B$3:$K$190,8,FALSE())*G18</f>
        <v>19.383918577339397</v>
      </c>
      <c r="I18" s="194">
        <f t="shared" si="2"/>
        <v>559.47555296405744</v>
      </c>
      <c r="J18" s="194">
        <f t="shared" si="3"/>
        <v>457.05550139006675</v>
      </c>
      <c r="K18" s="191" t="str">
        <f>VLOOKUP(C18,'BD  Materiales y equipos'!$B$3:$L$190,11,FALSE())</f>
        <v>IMPORTADO</v>
      </c>
      <c r="L18" s="436">
        <f t="shared" si="0"/>
        <v>1</v>
      </c>
      <c r="M18" s="421">
        <f t="shared" si="1"/>
        <v>1</v>
      </c>
      <c r="N18" s="194">
        <f>VLOOKUP(C18,'BD  Materiales y equipos'!$B$3:$K$190,9,FALSE())*0.811905633063426</f>
        <v>28.862871598011537</v>
      </c>
      <c r="O18" s="194">
        <f>VLOOKUP(C18,'BD  Materiales y equipos'!$B$3:$K$190,10,FALSE())*1.14265904837007</f>
        <v>23.579107576544587</v>
      </c>
    </row>
    <row r="19" spans="1:15" ht="13.5" thickBot="1">
      <c r="A19" s="584" t="str">
        <f>IF(VLOOKUP(C19,'BD  Materiales y equipos'!$B$3:$F$190,1,FALSE())=C19,"CORRECTO","NO LISTADO")</f>
        <v>CORRECTO</v>
      </c>
      <c r="B19" s="147" t="s">
        <v>411</v>
      </c>
      <c r="C19" s="147" t="s">
        <v>774</v>
      </c>
      <c r="D19" s="191" t="str">
        <f>VLOOKUP(C19,'BD  Materiales y equipos'!$B$3:$F$190,2,FALSE())</f>
        <v>Unidad</v>
      </c>
      <c r="E19" s="191">
        <f>VLOOKUP(C19,'BD  Materiales y equipos'!$B$3:$F$190,3,FALSE())</f>
        <v>0</v>
      </c>
      <c r="F19" s="191" t="str">
        <f>VLOOKUP(C19,'BD  Materiales y equipos'!$B$3:$F$190,4,FALSE())</f>
        <v>300#</v>
      </c>
      <c r="G19" s="133">
        <v>9</v>
      </c>
      <c r="H19" s="194">
        <f>VLOOKUP(C19,'BD  Materiales y equipos'!$B$3:$K$190,8,FALSE())*G19</f>
        <v>25.441393132757959</v>
      </c>
      <c r="I19" s="194">
        <f t="shared" si="2"/>
        <v>559.4755529640579</v>
      </c>
      <c r="J19" s="194">
        <f t="shared" si="3"/>
        <v>243.98603830770347</v>
      </c>
      <c r="K19" s="191" t="str">
        <f>VLOOKUP(C19,'BD  Materiales y equipos'!$B$3:$L$190,11,FALSE())</f>
        <v>IMPORTADO</v>
      </c>
      <c r="L19" s="436">
        <f t="shared" si="0"/>
        <v>1</v>
      </c>
      <c r="M19" s="421">
        <f t="shared" si="1"/>
        <v>1</v>
      </c>
      <c r="N19" s="194">
        <f>VLOOKUP(C19,'BD  Materiales y equipos'!$B$3:$K$190,9,FALSE())*0.811905633063426</f>
        <v>21.990759312770709</v>
      </c>
      <c r="O19" s="194">
        <f>VLOOKUP(C19,'BD  Materiales y equipos'!$B$3:$K$190,10,FALSE())*1.14265904837007</f>
        <v>9.5901209904087636</v>
      </c>
    </row>
    <row r="20" spans="1:15" ht="13.5" thickBot="1">
      <c r="A20" s="584" t="str">
        <f>IF(VLOOKUP(C20,'BD  Materiales y equipos'!$B$3:$F$190,1,FALSE())=C20,"CORRECTO","NO LISTADO")</f>
        <v>CORRECTO</v>
      </c>
      <c r="B20" s="147" t="s">
        <v>411</v>
      </c>
      <c r="C20" s="147" t="s">
        <v>725</v>
      </c>
      <c r="D20" s="191" t="str">
        <f>VLOOKUP(C20,'BD  Materiales y equipos'!$B$3:$F$190,2,FALSE())</f>
        <v>Unidad</v>
      </c>
      <c r="E20" s="191">
        <f>VLOOKUP(C20,'BD  Materiales y equipos'!$B$3:$F$190,3,FALSE())</f>
        <v>0</v>
      </c>
      <c r="F20" s="191" t="str">
        <f>VLOOKUP(C20,'BD  Materiales y equipos'!$B$3:$F$190,4,FALSE())</f>
        <v>150#</v>
      </c>
      <c r="G20" s="133">
        <v>12</v>
      </c>
      <c r="H20" s="194">
        <f>VLOOKUP(C20,'BD  Materiales y equipos'!$B$3:$K$190,8,FALSE())*G20</f>
        <v>10.499622562725506</v>
      </c>
      <c r="I20" s="194">
        <f t="shared" si="2"/>
        <v>346.96158323352381</v>
      </c>
      <c r="J20" s="194">
        <f t="shared" si="3"/>
        <v>443.64854001595796</v>
      </c>
      <c r="K20" s="191" t="str">
        <f>VLOOKUP(C20,'BD  Materiales y equipos'!$B$3:$L$190,11,FALSE())</f>
        <v>IMPORTADO</v>
      </c>
      <c r="L20" s="436">
        <f t="shared" si="0"/>
        <v>1</v>
      </c>
      <c r="M20" s="421">
        <f t="shared" si="1"/>
        <v>1</v>
      </c>
      <c r="N20" s="194">
        <f>VLOOKUP(C20,'BD  Materiales y equipos'!$B$3:$K$190,9,FALSE())*0.811905633063426</f>
        <v>33.045148162302993</v>
      </c>
      <c r="O20" s="194">
        <f>VLOOKUP(C20,'BD  Materiales y equipos'!$B$3:$K$190,10,FALSE())*1.14265904837007</f>
        <v>42.253760777167891</v>
      </c>
    </row>
    <row r="21" spans="1:15" ht="13.5" thickBot="1">
      <c r="A21" s="584" t="str">
        <f>IF(VLOOKUP(C21,'BD  Materiales y equipos'!$B$3:$F$190,1,FALSE())=C21,"CORRECTO","NO LISTADO")</f>
        <v>CORRECTO</v>
      </c>
      <c r="B21" s="147" t="s">
        <v>411</v>
      </c>
      <c r="C21" s="147" t="s">
        <v>775</v>
      </c>
      <c r="D21" s="191" t="str">
        <f>VLOOKUP(C21,'BD  Materiales y equipos'!$B$3:$F$190,2,FALSE())</f>
        <v>Unidad</v>
      </c>
      <c r="E21" s="191">
        <f>VLOOKUP(C21,'BD  Materiales y equipos'!$B$3:$F$190,3,FALSE())</f>
        <v>0</v>
      </c>
      <c r="F21" s="191" t="str">
        <f>VLOOKUP(C21,'BD  Materiales y equipos'!$B$3:$F$190,4,FALSE())</f>
        <v>300#</v>
      </c>
      <c r="G21" s="133">
        <v>12</v>
      </c>
      <c r="H21" s="194">
        <f>VLOOKUP(C21,'BD  Materiales y equipos'!$B$3:$K$190,8,FALSE())*G21</f>
        <v>13.730275658948738</v>
      </c>
      <c r="I21" s="194">
        <f t="shared" si="2"/>
        <v>346.96158323352421</v>
      </c>
      <c r="J21" s="194">
        <f t="shared" si="3"/>
        <v>156.38248151090355</v>
      </c>
      <c r="K21" s="191" t="str">
        <f>VLOOKUP(C21,'BD  Materiales y equipos'!$B$3:$L$190,11,FALSE())</f>
        <v>IMPORTADO</v>
      </c>
      <c r="L21" s="436">
        <f t="shared" si="0"/>
        <v>1</v>
      </c>
      <c r="M21" s="421">
        <f t="shared" ref="M21:M45" si="4">(0.65*ipc/ipc_base*trm_base/trm+0.35*fac_mano_obra)</f>
        <v>1</v>
      </c>
      <c r="N21" s="194">
        <f>VLOOKUP(C21,'BD  Materiales y equipos'!$B$3:$K$190,9,FALSE())*0.811905633063426</f>
        <v>25.269819182937614</v>
      </c>
      <c r="O21" s="194">
        <f>VLOOKUP(C21,'BD  Materiales y equipos'!$B$3:$K$190,10,FALSE())*1.14265904837007</f>
        <v>11.38960974967614</v>
      </c>
    </row>
    <row r="22" spans="1:15" ht="13.5" thickBot="1">
      <c r="A22" s="584" t="str">
        <f>IF(VLOOKUP(C22,'BD  Materiales y equipos'!$B$3:$F$190,1,FALSE())=C22,"CORRECTO","NO LISTADO")</f>
        <v>CORRECTO</v>
      </c>
      <c r="B22" s="147" t="s">
        <v>411</v>
      </c>
      <c r="C22" s="147" t="s">
        <v>727</v>
      </c>
      <c r="D22" s="191" t="str">
        <f>VLOOKUP(C22,'BD  Materiales y equipos'!$B$3:$F$190,2,FALSE())</f>
        <v>Unidad</v>
      </c>
      <c r="E22" s="191">
        <f>VLOOKUP(C22,'BD  Materiales y equipos'!$B$3:$F$190,3,FALSE())</f>
        <v>0</v>
      </c>
      <c r="F22" s="191" t="str">
        <f>VLOOKUP(C22,'BD  Materiales y equipos'!$B$3:$F$190,4,FALSE())</f>
        <v>150#</v>
      </c>
      <c r="G22" s="133">
        <v>2</v>
      </c>
      <c r="H22" s="194">
        <f>VLOOKUP(C22,'BD  Materiales y equipos'!$B$3:$K$190,8,FALSE())*G22</f>
        <v>47.652133169292682</v>
      </c>
      <c r="I22" s="194">
        <f t="shared" si="2"/>
        <v>813.43215624748518</v>
      </c>
      <c r="J22" s="194">
        <f t="shared" si="3"/>
        <v>678.79078316114521</v>
      </c>
      <c r="K22" s="191" t="str">
        <f>VLOOKUP(C22,'BD  Materiales y equipos'!$B$3:$L$190,11,FALSE())</f>
        <v>IMPORTADO</v>
      </c>
      <c r="L22" s="436">
        <f t="shared" si="0"/>
        <v>1</v>
      </c>
      <c r="M22" s="421">
        <f t="shared" si="4"/>
        <v>1</v>
      </c>
      <c r="N22" s="194">
        <f>VLOOKUP(C22,'BD  Materiales y equipos'!$B$3:$K$190,9,FALSE())*0.811905633063426</f>
        <v>17.070214954651089</v>
      </c>
      <c r="O22" s="194">
        <f>VLOOKUP(C22,'BD  Materiales y equipos'!$B$3:$K$190,10,FALSE())*1.14265904837007</f>
        <v>14.244709271453182</v>
      </c>
    </row>
    <row r="23" spans="1:15" ht="13.5" thickBot="1">
      <c r="A23" s="584" t="str">
        <f>IF(VLOOKUP(C23,'BD  Materiales y equipos'!$B$3:$F$190,1,FALSE())=C23,"CORRECTO","NO LISTADO")</f>
        <v>CORRECTO</v>
      </c>
      <c r="B23" s="147" t="s">
        <v>411</v>
      </c>
      <c r="C23" s="147" t="s">
        <v>754</v>
      </c>
      <c r="D23" s="191" t="str">
        <f>VLOOKUP(C23,'BD  Materiales y equipos'!$B$3:$F$190,2,FALSE())</f>
        <v>Unidad</v>
      </c>
      <c r="E23" s="191">
        <f>VLOOKUP(C23,'BD  Materiales y equipos'!$B$3:$F$190,3,FALSE())</f>
        <v>0</v>
      </c>
      <c r="F23" s="191" t="str">
        <f>VLOOKUP(C23,'BD  Materiales y equipos'!$B$3:$F$190,4,FALSE())</f>
        <v>300#</v>
      </c>
      <c r="G23" s="133">
        <v>2</v>
      </c>
      <c r="H23" s="194">
        <f>VLOOKUP(C23,'BD  Materiales y equipos'!$B$3:$K$190,8,FALSE())*G23</f>
        <v>47.921354260644613</v>
      </c>
      <c r="I23" s="194">
        <f t="shared" si="2"/>
        <v>642.84271115767012</v>
      </c>
      <c r="J23" s="194">
        <f t="shared" si="3"/>
        <v>718.80492458206834</v>
      </c>
      <c r="K23" s="191" t="str">
        <f>VLOOKUP(C23,'BD  Materiales y equipos'!$B$3:$L$190,11,FALSE())</f>
        <v>IMPORTADO</v>
      </c>
      <c r="L23" s="436">
        <f t="shared" si="0"/>
        <v>1</v>
      </c>
      <c r="M23" s="421">
        <f t="shared" si="4"/>
        <v>1</v>
      </c>
      <c r="N23" s="194">
        <f>VLOOKUP(C23,'BD  Materiales y equipos'!$B$3:$K$190,9,FALSE())*0.811905633063426</f>
        <v>13.414535567197113</v>
      </c>
      <c r="O23" s="194">
        <f>VLOOKUP(C23,'BD  Materiales y equipos'!$B$3:$K$190,10,FALSE())*1.14265904837007</f>
        <v>14.999678862840204</v>
      </c>
    </row>
    <row r="24" spans="1:15" ht="13.5" thickBot="1">
      <c r="A24" s="584" t="str">
        <f>IF(VLOOKUP(C24,'BD  Materiales y equipos'!$B$3:$F$190,1,FALSE())=C24,"CORRECTO","NO LISTADO")</f>
        <v>CORRECTO</v>
      </c>
      <c r="B24" s="147" t="s">
        <v>411</v>
      </c>
      <c r="C24" s="147" t="s">
        <v>728</v>
      </c>
      <c r="D24" s="191" t="str">
        <f>VLOOKUP(C24,'BD  Materiales y equipos'!$B$3:$F$190,2,FALSE())</f>
        <v>Unidad</v>
      </c>
      <c r="E24" s="191" t="str">
        <f>VLOOKUP(C24,'BD  Materiales y equipos'!$B$3:$F$190,3,FALSE())</f>
        <v>STD</v>
      </c>
      <c r="F24" s="191">
        <f>VLOOKUP(C24,'BD  Materiales y equipos'!$B$3:$F$190,4,FALSE())</f>
        <v>0</v>
      </c>
      <c r="G24" s="133">
        <v>1</v>
      </c>
      <c r="H24" s="194">
        <f>VLOOKUP(C24,'BD  Materiales y equipos'!$B$3:$K$190,8,FALSE())*G24</f>
        <v>49.671291354432199</v>
      </c>
      <c r="I24" s="194">
        <f t="shared" si="2"/>
        <v>647.66162203591148</v>
      </c>
      <c r="J24" s="194">
        <f t="shared" si="3"/>
        <v>507.25001805618615</v>
      </c>
      <c r="K24" s="191" t="str">
        <f>VLOOKUP(C24,'BD  Materiales y equipos'!$B$3:$L$190,11,FALSE())</f>
        <v>IMPORTADO</v>
      </c>
      <c r="L24" s="436">
        <f t="shared" si="0"/>
        <v>1</v>
      </c>
      <c r="M24" s="421">
        <f t="shared" si="4"/>
        <v>1</v>
      </c>
      <c r="N24" s="194">
        <f>VLOOKUP(C24,'BD  Materiales y equipos'!$B$3:$K$190,9,FALSE())*0.811905633063426</f>
        <v>13.038952770816582</v>
      </c>
      <c r="O24" s="194">
        <f>VLOOKUP(C24,'BD  Materiales y equipos'!$B$3:$K$190,10,FALSE())*1.14265904837007</f>
        <v>10.212136713673821</v>
      </c>
    </row>
    <row r="25" spans="1:15" ht="13.5" thickBot="1">
      <c r="A25" s="584" t="str">
        <f>IF(VLOOKUP(C25,'BD  Materiales y equipos'!$B$3:$F$190,1,FALSE())=C25,"CORRECTO","NO LISTADO")</f>
        <v>CORRECTO</v>
      </c>
      <c r="B25" s="147" t="s">
        <v>411</v>
      </c>
      <c r="C25" s="147" t="s">
        <v>729</v>
      </c>
      <c r="D25" s="191" t="str">
        <f>VLOOKUP(C25,'BD  Materiales y equipos'!$B$3:$F$190,2,FALSE())</f>
        <v>Unidad</v>
      </c>
      <c r="E25" s="191" t="str">
        <f>VLOOKUP(C25,'BD  Materiales y equipos'!$B$3:$F$190,3,FALSE())</f>
        <v>STD</v>
      </c>
      <c r="F25" s="191">
        <f>VLOOKUP(C25,'BD  Materiales y equipos'!$B$3:$F$190,4,FALSE())</f>
        <v>0</v>
      </c>
      <c r="G25" s="133">
        <v>2</v>
      </c>
      <c r="H25" s="194">
        <f>VLOOKUP(C25,'BD  Materiales y equipos'!$B$3:$K$190,8,FALSE())*G25</f>
        <v>53.844218270387209</v>
      </c>
      <c r="I25" s="194">
        <f t="shared" si="2"/>
        <v>900.65444314368926</v>
      </c>
      <c r="J25" s="194">
        <f t="shared" si="3"/>
        <v>593.85367967553498</v>
      </c>
      <c r="K25" s="191" t="str">
        <f>VLOOKUP(C25,'BD  Materiales y equipos'!$B$3:$L$190,11,FALSE())</f>
        <v>IMPORTADO</v>
      </c>
      <c r="L25" s="436">
        <f t="shared" si="0"/>
        <v>1</v>
      </c>
      <c r="M25" s="421">
        <f t="shared" si="4"/>
        <v>1</v>
      </c>
      <c r="N25" s="194">
        <f>VLOOKUP(C25,'BD  Materiales y equipos'!$B$3:$K$190,9,FALSE())*0.811905633063426</f>
        <v>16.727040935405753</v>
      </c>
      <c r="O25" s="194">
        <f>VLOOKUP(C25,'BD  Materiales y equipos'!$B$3:$K$190,10,FALSE())*1.14265904837007</f>
        <v>11.029107650767727</v>
      </c>
    </row>
    <row r="26" spans="1:15" ht="13.5" thickBot="1">
      <c r="A26" s="584" t="str">
        <f>IF(VLOOKUP(C26,'BD  Materiales y equipos'!$B$3:$F$190,1,FALSE())=C26,"CORRECTO","NO LISTADO")</f>
        <v>CORRECTO</v>
      </c>
      <c r="B26" s="147" t="s">
        <v>411</v>
      </c>
      <c r="C26" s="147" t="s">
        <v>755</v>
      </c>
      <c r="D26" s="191" t="str">
        <f>VLOOKUP(C26,'BD  Materiales y equipos'!$B$3:$F$190,2,FALSE())</f>
        <v>Unidad</v>
      </c>
      <c r="E26" s="191" t="str">
        <f>VLOOKUP(C26,'BD  Materiales y equipos'!$B$3:$F$190,3,FALSE())</f>
        <v>STD</v>
      </c>
      <c r="F26" s="191">
        <f>VLOOKUP(C26,'BD  Materiales y equipos'!$B$3:$F$190,4,FALSE())</f>
        <v>0</v>
      </c>
      <c r="G26" s="133">
        <v>1</v>
      </c>
      <c r="H26" s="194">
        <f>VLOOKUP(C26,'BD  Materiales y equipos'!$B$3:$K$190,8,FALSE())*G26</f>
        <v>17.230149846523908</v>
      </c>
      <c r="I26" s="194">
        <f t="shared" si="2"/>
        <v>543.09125597803029</v>
      </c>
      <c r="J26" s="194">
        <f t="shared" si="3"/>
        <v>199.53483637097983</v>
      </c>
      <c r="K26" s="191" t="str">
        <f>VLOOKUP(C26,'BD  Materiales y equipos'!$B$3:$L$190,11,FALSE())</f>
        <v>IMPORTADO</v>
      </c>
      <c r="L26" s="436">
        <f t="shared" si="0"/>
        <v>1</v>
      </c>
      <c r="M26" s="421">
        <f t="shared" si="4"/>
        <v>1</v>
      </c>
      <c r="N26" s="194">
        <f>VLOOKUP(C26,'BD  Materiales y equipos'!$B$3:$K$190,9,FALSE())*0.811905633063426</f>
        <v>31.519821987363397</v>
      </c>
      <c r="O26" s="194">
        <f>VLOOKUP(C26,'BD  Materiales y equipos'!$B$3:$K$190,10,FALSE())*1.14265904837007</f>
        <v>11.580563033306117</v>
      </c>
    </row>
    <row r="27" spans="1:15" ht="13.5" thickBot="1">
      <c r="A27" s="584" t="str">
        <f>IF(VLOOKUP(C27,'BD  Materiales y equipos'!$B$3:$F$190,1,FALSE())=C27,"CORRECTO","NO LISTADO")</f>
        <v>CORRECTO</v>
      </c>
      <c r="B27" s="147" t="s">
        <v>411</v>
      </c>
      <c r="C27" s="147" t="s">
        <v>756</v>
      </c>
      <c r="D27" s="191" t="str">
        <f>VLOOKUP(C27,'BD  Materiales y equipos'!$B$3:$F$190,2,FALSE())</f>
        <v>Unidad</v>
      </c>
      <c r="E27" s="191" t="str">
        <f>VLOOKUP(C27,'BD  Materiales y equipos'!$B$3:$F$190,3,FALSE())</f>
        <v>STD</v>
      </c>
      <c r="F27" s="191">
        <f>VLOOKUP(C27,'BD  Materiales y equipos'!$B$3:$F$190,4,FALSE())</f>
        <v>0</v>
      </c>
      <c r="G27" s="133">
        <v>3</v>
      </c>
      <c r="H27" s="194">
        <f>VLOOKUP(C27,'BD  Materiales y equipos'!$B$3:$K$190,8,FALSE())*G27</f>
        <v>97.727256160752773</v>
      </c>
      <c r="I27" s="194">
        <f t="shared" si="2"/>
        <v>1088.3256689973423</v>
      </c>
      <c r="J27" s="194">
        <f t="shared" si="3"/>
        <v>1077.844428611096</v>
      </c>
      <c r="K27" s="191" t="str">
        <f>VLOOKUP(C27,'BD  Materiales y equipos'!$B$3:$L$190,11,FALSE())</f>
        <v>IMPORTADO</v>
      </c>
      <c r="L27" s="436">
        <f t="shared" si="0"/>
        <v>1</v>
      </c>
      <c r="M27" s="421">
        <f t="shared" si="4"/>
        <v>1</v>
      </c>
      <c r="N27" s="194">
        <f>VLOOKUP(C27,'BD  Materiales y equipos'!$B$3:$K$190,9,FALSE())*0.811905633063426</f>
        <v>11.136357570575214</v>
      </c>
      <c r="O27" s="194">
        <f>VLOOKUP(C27,'BD  Materiales y equipos'!$B$3:$K$190,10,FALSE())*1.14265904837007</f>
        <v>11.029107650767727</v>
      </c>
    </row>
    <row r="28" spans="1:15" ht="13.5" thickBot="1">
      <c r="A28" s="584" t="str">
        <f>IF(VLOOKUP(C28,'BD  Materiales y equipos'!$B$3:$F$190,1,FALSE())=C28,"CORRECTO","NO LISTADO")</f>
        <v>CORRECTO</v>
      </c>
      <c r="B28" s="147" t="s">
        <v>411</v>
      </c>
      <c r="C28" s="147" t="s">
        <v>757</v>
      </c>
      <c r="D28" s="191" t="str">
        <f>VLOOKUP(C28,'BD  Materiales y equipos'!$B$3:$F$190,2,FALSE())</f>
        <v>Unidad</v>
      </c>
      <c r="E28" s="191" t="str">
        <f>VLOOKUP(C28,'BD  Materiales y equipos'!$B$3:$F$190,3,FALSE())</f>
        <v>STD</v>
      </c>
      <c r="F28" s="191">
        <f>VLOOKUP(C28,'BD  Materiales y equipos'!$B$3:$F$190,4,FALSE())</f>
        <v>0</v>
      </c>
      <c r="G28" s="133">
        <v>3</v>
      </c>
      <c r="H28" s="194">
        <f>VLOOKUP(C28,'BD  Materiales y equipos'!$B$3:$K$190,8,FALSE())*G28</f>
        <v>56.940260820934469</v>
      </c>
      <c r="I28" s="194">
        <f t="shared" si="2"/>
        <v>793.10138343395727</v>
      </c>
      <c r="J28" s="194">
        <f t="shared" si="3"/>
        <v>691.27835417872791</v>
      </c>
      <c r="K28" s="191" t="str">
        <f>VLOOKUP(C28,'BD  Materiales y equipos'!$B$3:$L$190,11,FALSE())</f>
        <v>IMPORTADO</v>
      </c>
      <c r="L28" s="436">
        <f t="shared" si="0"/>
        <v>1</v>
      </c>
      <c r="M28" s="421">
        <f t="shared" si="4"/>
        <v>1</v>
      </c>
      <c r="N28" s="194">
        <f>VLOOKUP(C28,'BD  Materiales y equipos'!$B$3:$K$190,9,FALSE())*0.811905633063426</f>
        <v>13.928657368256525</v>
      </c>
      <c r="O28" s="194">
        <f>VLOOKUP(C28,'BD  Materiales y equipos'!$B$3:$K$190,10,FALSE())*1.14265904837007</f>
        <v>12.140414255436195</v>
      </c>
    </row>
    <row r="29" spans="1:15" ht="13.5" thickBot="1">
      <c r="A29" s="584" t="str">
        <f>IF(VLOOKUP(C29,'BD  Materiales y equipos'!$B$3:$F$190,1,FALSE())=C29,"CORRECTO","NO LISTADO")</f>
        <v>CORRECTO</v>
      </c>
      <c r="B29" s="147" t="s">
        <v>411</v>
      </c>
      <c r="C29" s="147" t="s">
        <v>758</v>
      </c>
      <c r="D29" s="191" t="str">
        <f>VLOOKUP(C29,'BD  Materiales y equipos'!$B$3:$F$190,2,FALSE())</f>
        <v>Junta</v>
      </c>
      <c r="E29" s="191">
        <f>VLOOKUP(C29,'BD  Materiales y equipos'!$B$3:$F$190,3,FALSE())</f>
        <v>0</v>
      </c>
      <c r="F29" s="191">
        <f>VLOOKUP(C29,'BD  Materiales y equipos'!$B$3:$F$190,4,FALSE())</f>
        <v>0</v>
      </c>
      <c r="G29" s="133">
        <v>2</v>
      </c>
      <c r="H29" s="194">
        <f>VLOOKUP(C29,'BD  Materiales y equipos'!$B$3:$K$190,8,FALSE())*G29</f>
        <v>8.3458538319100164</v>
      </c>
      <c r="I29" s="194">
        <f t="shared" si="2"/>
        <v>3.4296081266662566</v>
      </c>
      <c r="J29" s="194">
        <f t="shared" si="3"/>
        <v>0</v>
      </c>
      <c r="K29" s="191" t="str">
        <f>VLOOKUP(C29,'BD  Materiales y equipos'!$B$3:$L$190,11,FALSE())</f>
        <v>IMPORTADO</v>
      </c>
      <c r="L29" s="436">
        <f t="shared" si="0"/>
        <v>1</v>
      </c>
      <c r="M29" s="421">
        <f t="shared" si="4"/>
        <v>1</v>
      </c>
      <c r="N29" s="194">
        <f>VLOOKUP(C29,'BD  Materiales y equipos'!$B$3:$K$190,9,FALSE())*0.811905633063426</f>
        <v>0.41093556102711698</v>
      </c>
      <c r="O29" s="194">
        <f>VLOOKUP(C29,'BD  Materiales y equipos'!$B$3:$K$190,10,FALSE())*1.14265904837007</f>
        <v>0</v>
      </c>
    </row>
    <row r="30" spans="1:15" ht="13.5" thickBot="1">
      <c r="A30" s="584" t="str">
        <f>IF(VLOOKUP(C30,'BD  Materiales y equipos'!$B$3:$F$190,1,FALSE())=C30,"CORRECTO","NO LISTADO")</f>
        <v>CORRECTO</v>
      </c>
      <c r="B30" s="147" t="s">
        <v>411</v>
      </c>
      <c r="C30" s="147" t="s">
        <v>759</v>
      </c>
      <c r="D30" s="191" t="str">
        <f>VLOOKUP(C30,'BD  Materiales y equipos'!$B$3:$F$190,2,FALSE())</f>
        <v>Junta</v>
      </c>
      <c r="E30" s="191">
        <f>VLOOKUP(C30,'BD  Materiales y equipos'!$B$3:$F$190,3,FALSE())</f>
        <v>0</v>
      </c>
      <c r="F30" s="191">
        <f>VLOOKUP(C30,'BD  Materiales y equipos'!$B$3:$F$190,4,FALSE())</f>
        <v>0</v>
      </c>
      <c r="G30" s="133">
        <v>5</v>
      </c>
      <c r="H30" s="194">
        <f>VLOOKUP(C30,'BD  Materiales y equipos'!$B$3:$K$190,8,FALSE())*G30</f>
        <v>32.979583690612166</v>
      </c>
      <c r="I30" s="194">
        <f t="shared" si="2"/>
        <v>12.317102496267568</v>
      </c>
      <c r="J30" s="194">
        <f t="shared" si="3"/>
        <v>0</v>
      </c>
      <c r="K30" s="191" t="str">
        <f>VLOOKUP(C30,'BD  Materiales y equipos'!$B$3:$L$190,11,FALSE())</f>
        <v>IMPORTADO</v>
      </c>
      <c r="L30" s="436">
        <f t="shared" si="0"/>
        <v>1</v>
      </c>
      <c r="M30" s="421">
        <f t="shared" si="4"/>
        <v>1</v>
      </c>
      <c r="N30" s="194">
        <f>VLOOKUP(C30,'BD  Materiales y equipos'!$B$3:$K$190,9,FALSE())*0.811905633063426</f>
        <v>0.37347659120917598</v>
      </c>
      <c r="O30" s="194">
        <f>VLOOKUP(C30,'BD  Materiales y equipos'!$B$3:$K$190,10,FALSE())*1.14265904837007</f>
        <v>0</v>
      </c>
    </row>
    <row r="31" spans="1:15" ht="13.5" thickBot="1">
      <c r="A31" s="584" t="str">
        <f>IF(VLOOKUP(C31,'BD  Materiales y equipos'!$B$3:$F$190,1,FALSE())=C31,"CORRECTO","NO LISTADO")</f>
        <v>CORRECTO</v>
      </c>
      <c r="B31" s="147" t="s">
        <v>411</v>
      </c>
      <c r="C31" s="147" t="s">
        <v>760</v>
      </c>
      <c r="D31" s="191" t="str">
        <f>VLOOKUP(C31,'BD  Materiales y equipos'!$B$3:$F$190,2,FALSE())</f>
        <v>Junta</v>
      </c>
      <c r="E31" s="191">
        <f>VLOOKUP(C31,'BD  Materiales y equipos'!$B$3:$F$190,3,FALSE())</f>
        <v>0</v>
      </c>
      <c r="F31" s="191">
        <f>VLOOKUP(C31,'BD  Materiales y equipos'!$B$3:$F$190,4,FALSE())</f>
        <v>0</v>
      </c>
      <c r="G31" s="133">
        <v>9</v>
      </c>
      <c r="H31" s="194">
        <f>VLOOKUP(C31,'BD  Materiales y equipos'!$B$3:$K$190,8,FALSE())*G31</f>
        <v>18.172423666255686</v>
      </c>
      <c r="I31" s="194">
        <f t="shared" si="2"/>
        <v>10.623091061554637</v>
      </c>
      <c r="J31" s="194">
        <f t="shared" si="3"/>
        <v>0</v>
      </c>
      <c r="K31" s="191" t="str">
        <f>VLOOKUP(C31,'BD  Materiales y equipos'!$B$3:$L$190,11,FALSE())</f>
        <v>IMPORTADO</v>
      </c>
      <c r="L31" s="436">
        <f t="shared" si="0"/>
        <v>1</v>
      </c>
      <c r="M31" s="421">
        <f t="shared" si="4"/>
        <v>1</v>
      </c>
      <c r="N31" s="194">
        <f>VLOOKUP(C31,'BD  Materiales y equipos'!$B$3:$K$190,9,FALSE())*0.811905633063426</f>
        <v>0.58457205580566673</v>
      </c>
      <c r="O31" s="194">
        <f>VLOOKUP(C31,'BD  Materiales y equipos'!$B$3:$K$190,10,FALSE())*1.14265904837007</f>
        <v>0</v>
      </c>
    </row>
    <row r="32" spans="1:15" ht="13.5" thickBot="1">
      <c r="A32" s="584" t="str">
        <f>IF(VLOOKUP(C32,'BD  Materiales y equipos'!$B$3:$F$190,1,FALSE())=C32,"CORRECTO","NO LISTADO")</f>
        <v>CORRECTO</v>
      </c>
      <c r="B32" s="147" t="s">
        <v>411</v>
      </c>
      <c r="C32" s="147" t="s">
        <v>761</v>
      </c>
      <c r="D32" s="191" t="str">
        <f>VLOOKUP(C32,'BD  Materiales y equipos'!$B$3:$F$190,2,FALSE())</f>
        <v>Junta</v>
      </c>
      <c r="E32" s="191">
        <f>VLOOKUP(C32,'BD  Materiales y equipos'!$B$3:$F$190,3,FALSE())</f>
        <v>0</v>
      </c>
      <c r="F32" s="191">
        <f>VLOOKUP(C32,'BD  Materiales y equipos'!$B$3:$F$190,4,FALSE())</f>
        <v>0</v>
      </c>
      <c r="G32" s="133">
        <v>15</v>
      </c>
      <c r="H32" s="194">
        <f>VLOOKUP(C32,'BD  Materiales y equipos'!$B$3:$K$190,8,FALSE())*G32</f>
        <v>36.344847332511364</v>
      </c>
      <c r="I32" s="194">
        <f t="shared" si="2"/>
        <v>19.180581083362537</v>
      </c>
      <c r="J32" s="194">
        <f t="shared" si="3"/>
        <v>0</v>
      </c>
      <c r="K32" s="191" t="str">
        <f>VLOOKUP(C32,'BD  Materiales y equipos'!$B$3:$L$190,11,FALSE())</f>
        <v>IMPORTADO</v>
      </c>
      <c r="L32" s="436">
        <f t="shared" si="0"/>
        <v>1</v>
      </c>
      <c r="M32" s="421">
        <f t="shared" si="4"/>
        <v>1</v>
      </c>
      <c r="N32" s="194">
        <f>VLOOKUP(C32,'BD  Materiales y equipos'!$B$3:$K$190,9,FALSE())*0.811905633063426</f>
        <v>0.52773866149122695</v>
      </c>
      <c r="O32" s="194">
        <f>VLOOKUP(C32,'BD  Materiales y equipos'!$B$3:$K$190,10,FALSE())*1.14265904837007</f>
        <v>0</v>
      </c>
    </row>
    <row r="33" spans="1:18" ht="13.5" thickBot="1">
      <c r="A33" s="584" t="str">
        <f>IF(VLOOKUP(C33,'BD  Materiales y equipos'!$B$3:$F$190,1,FALSE())=C33,"CORRECTO","NO LISTADO")</f>
        <v>CORRECTO</v>
      </c>
      <c r="B33" s="147" t="s">
        <v>411</v>
      </c>
      <c r="C33" s="147" t="s">
        <v>735</v>
      </c>
      <c r="D33" s="191" t="str">
        <f>VLOOKUP(C33,'BD  Materiales y equipos'!$B$3:$F$190,2,FALSE())</f>
        <v>Unidad</v>
      </c>
      <c r="E33" s="191">
        <f>VLOOKUP(C33,'BD  Materiales y equipos'!$B$3:$F$190,3,FALSE())</f>
        <v>0</v>
      </c>
      <c r="F33" s="191">
        <f>VLOOKUP(C33,'BD  Materiales y equipos'!$B$3:$F$190,4,FALSE())</f>
        <v>0</v>
      </c>
      <c r="G33" s="133">
        <v>2</v>
      </c>
      <c r="H33" s="194">
        <f>VLOOKUP(C33,'BD  Materiales y equipos'!$B$3:$K$190,8,FALSE())*G33</f>
        <v>1.187061816546588</v>
      </c>
      <c r="I33" s="194">
        <f t="shared" si="2"/>
        <v>9.6378217564867796</v>
      </c>
      <c r="J33" s="194">
        <f t="shared" si="3"/>
        <v>0</v>
      </c>
      <c r="K33" s="191" t="str">
        <f>VLOOKUP(C33,'BD  Materiales y equipos'!$B$3:$L$190,11,FALSE())</f>
        <v>IMPORTADO</v>
      </c>
      <c r="L33" s="436">
        <f t="shared" si="0"/>
        <v>1</v>
      </c>
      <c r="M33" s="421">
        <f t="shared" si="4"/>
        <v>1</v>
      </c>
      <c r="N33" s="194">
        <f>VLOOKUP(C33,'BD  Materiales y equipos'!$B$3:$K$190,9,FALSE())*0.811905633063426</f>
        <v>8.11905633063426</v>
      </c>
      <c r="O33" s="194">
        <f>VLOOKUP(C33,'BD  Materiales y equipos'!$B$3:$K$190,10,FALSE())*1.14265904837007</f>
        <v>0</v>
      </c>
    </row>
    <row r="34" spans="1:18" ht="13.5" thickBot="1">
      <c r="A34" s="584" t="str">
        <f>IF(VLOOKUP(C34,'BD  Materiales y equipos'!$B$3:$F$190,1,FALSE())=C34,"CORRECTO","NO LISTADO")</f>
        <v>CORRECTO</v>
      </c>
      <c r="B34" s="147" t="s">
        <v>411</v>
      </c>
      <c r="C34" s="147" t="s">
        <v>762</v>
      </c>
      <c r="D34" s="191" t="str">
        <f>VLOOKUP(C34,'BD  Materiales y equipos'!$B$3:$F$190,2,FALSE())</f>
        <v>Unidad</v>
      </c>
      <c r="E34" s="191">
        <f>VLOOKUP(C34,'BD  Materiales y equipos'!$B$3:$F$190,3,FALSE())</f>
        <v>0</v>
      </c>
      <c r="F34" s="191" t="str">
        <f>VLOOKUP(C34,'BD  Materiales y equipos'!$B$3:$F$190,4,FALSE())</f>
        <v>300#</v>
      </c>
      <c r="G34" s="133">
        <v>7</v>
      </c>
      <c r="H34" s="194">
        <f>VLOOKUP(C34,'BD  Materiales y equipos'!$B$3:$K$190,8,FALSE())*G34</f>
        <v>4.1547163579130579</v>
      </c>
      <c r="I34" s="194">
        <f t="shared" si="2"/>
        <v>32.045757340318545</v>
      </c>
      <c r="J34" s="194">
        <f t="shared" si="3"/>
        <v>0</v>
      </c>
      <c r="K34" s="191" t="str">
        <f>VLOOKUP(C34,'BD  Materiales y equipos'!$B$3:$L$190,11,FALSE())</f>
        <v>IMPORTADO</v>
      </c>
      <c r="L34" s="436">
        <f t="shared" si="0"/>
        <v>1</v>
      </c>
      <c r="M34" s="421">
        <f t="shared" si="4"/>
        <v>1</v>
      </c>
      <c r="N34" s="194">
        <f>VLOOKUP(C34,'BD  Materiales y equipos'!$B$3:$K$190,9,FALSE())*0.811905633063426</f>
        <v>7.7131035141025475</v>
      </c>
      <c r="O34" s="194">
        <f>VLOOKUP(C34,'BD  Materiales y equipos'!$B$3:$K$190,10,FALSE())*1.14265904837007</f>
        <v>0</v>
      </c>
    </row>
    <row r="35" spans="1:18" ht="13.5" thickBot="1">
      <c r="A35" s="584" t="str">
        <f>IF(VLOOKUP(C35,'BD  Materiales y equipos'!$B$3:$F$190,1,FALSE())=C35,"CORRECTO","NO LISTADO")</f>
        <v>CORRECTO</v>
      </c>
      <c r="B35" s="147" t="s">
        <v>411</v>
      </c>
      <c r="C35" s="147" t="s">
        <v>763</v>
      </c>
      <c r="D35" s="191" t="str">
        <f>VLOOKUP(C35,'BD  Materiales y equipos'!$B$3:$F$190,2,FALSE())</f>
        <v>Unidad</v>
      </c>
      <c r="E35" s="191">
        <f>VLOOKUP(C35,'BD  Materiales y equipos'!$B$3:$F$190,3,FALSE())</f>
        <v>0</v>
      </c>
      <c r="F35" s="191" t="str">
        <f>VLOOKUP(C35,'BD  Materiales y equipos'!$B$3:$F$190,4,FALSE())</f>
        <v>150#</v>
      </c>
      <c r="G35" s="133">
        <v>9</v>
      </c>
      <c r="H35" s="194">
        <f>VLOOKUP(C35,'BD  Materiales y equipos'!$B$3:$K$190,8,FALSE())*G35</f>
        <v>4.0063336308447344</v>
      </c>
      <c r="I35" s="194">
        <f t="shared" si="2"/>
        <v>30.348295983457309</v>
      </c>
      <c r="J35" s="194">
        <f t="shared" si="3"/>
        <v>0</v>
      </c>
      <c r="K35" s="191" t="str">
        <f>VLOOKUP(C35,'BD  Materiales y equipos'!$B$3:$L$190,11,FALSE())</f>
        <v>IMPORTADO</v>
      </c>
      <c r="L35" s="436">
        <f t="shared" si="0"/>
        <v>1</v>
      </c>
      <c r="M35" s="421">
        <f t="shared" si="4"/>
        <v>1</v>
      </c>
      <c r="N35" s="194">
        <f>VLOOKUP(C35,'BD  Materiales y equipos'!$B$3:$K$190,9,FALSE())*0.811905633063426</f>
        <v>7.5750795564817643</v>
      </c>
      <c r="O35" s="194">
        <f>VLOOKUP(C35,'BD  Materiales y equipos'!$B$3:$K$190,10,FALSE())*1.14265904837007</f>
        <v>0</v>
      </c>
    </row>
    <row r="36" spans="1:18" ht="13.5" thickBot="1">
      <c r="A36" s="584" t="str">
        <f>IF(VLOOKUP(C36,'BD  Materiales y equipos'!$B$3:$F$190,1,FALSE())=C36,"CORRECTO","NO LISTADO")</f>
        <v>CORRECTO</v>
      </c>
      <c r="B36" s="147" t="s">
        <v>411</v>
      </c>
      <c r="C36" s="147" t="s">
        <v>764</v>
      </c>
      <c r="D36" s="191" t="str">
        <f>VLOOKUP(C36,'BD  Materiales y equipos'!$B$3:$F$190,2,FALSE())</f>
        <v>Unidad</v>
      </c>
      <c r="E36" s="191">
        <f>VLOOKUP(C36,'BD  Materiales y equipos'!$B$3:$F$190,3,FALSE())</f>
        <v>0</v>
      </c>
      <c r="F36" s="191" t="str">
        <f>VLOOKUP(C36,'BD  Materiales y equipos'!$B$3:$F$190,4,FALSE())</f>
        <v>300#</v>
      </c>
      <c r="G36" s="133">
        <v>15</v>
      </c>
      <c r="H36" s="194">
        <f>VLOOKUP(C36,'BD  Materiales y equipos'!$B$3:$K$190,8,FALSE())*G36</f>
        <v>6.6772227180745576</v>
      </c>
      <c r="I36" s="194">
        <f t="shared" si="2"/>
        <v>32.527648428142882</v>
      </c>
      <c r="J36" s="194">
        <f t="shared" si="3"/>
        <v>0</v>
      </c>
      <c r="K36" s="191" t="str">
        <f>VLOOKUP(C36,'BD  Materiales y equipos'!$B$3:$L$190,11,FALSE())</f>
        <v>IMPORTADO</v>
      </c>
      <c r="L36" s="436">
        <f t="shared" si="0"/>
        <v>1</v>
      </c>
      <c r="M36" s="421">
        <f t="shared" si="4"/>
        <v>1</v>
      </c>
      <c r="N36" s="194">
        <f>VLOOKUP(C36,'BD  Materiales y equipos'!$B$3:$K$190,9,FALSE())*0.811905633063426</f>
        <v>4.871433798380556</v>
      </c>
      <c r="O36" s="194">
        <f>VLOOKUP(C36,'BD  Materiales y equipos'!$B$3:$K$190,10,FALSE())*1.14265904837007</f>
        <v>0</v>
      </c>
    </row>
    <row r="37" spans="1:18" ht="13.5" thickBot="1">
      <c r="A37" s="584" t="str">
        <f>IF(VLOOKUP(C37,'BD  Materiales y equipos'!$B$3:$F$190,1,FALSE())=C37,"CORRECTO","NO LISTADO")</f>
        <v>CORRECTO</v>
      </c>
      <c r="B37" s="147" t="s">
        <v>411</v>
      </c>
      <c r="C37" s="147" t="s">
        <v>765</v>
      </c>
      <c r="D37" s="191" t="str">
        <f>VLOOKUP(C37,'BD  Materiales y equipos'!$B$3:$F$190,2,FALSE())</f>
        <v>Global</v>
      </c>
      <c r="E37" s="191">
        <f>VLOOKUP(C37,'BD  Materiales y equipos'!$B$3:$F$190,3,FALSE())</f>
        <v>0</v>
      </c>
      <c r="F37" s="191">
        <f>VLOOKUP(C37,'BD  Materiales y equipos'!$B$3:$F$190,4,FALSE())</f>
        <v>0</v>
      </c>
      <c r="G37" s="133">
        <v>1</v>
      </c>
      <c r="H37" s="194">
        <f>VLOOKUP(C37,'BD  Materiales y equipos'!$B$3:$K$190,8,FALSE())*G37</f>
        <v>399.44630126792686</v>
      </c>
      <c r="I37" s="194">
        <f t="shared" si="2"/>
        <v>4535.9143064606205</v>
      </c>
      <c r="J37" s="194">
        <f t="shared" si="3"/>
        <v>0</v>
      </c>
      <c r="K37" s="191" t="str">
        <f>VLOOKUP(C37,'BD  Materiales y equipos'!$B$3:$L$190,11,FALSE())</f>
        <v>NACIONAL</v>
      </c>
      <c r="L37" s="436">
        <f t="shared" si="0"/>
        <v>1</v>
      </c>
      <c r="M37" s="421">
        <f t="shared" si="4"/>
        <v>1</v>
      </c>
      <c r="N37" s="194">
        <f>VLOOKUP(C37,'BD  Materiales y equipos'!$B$3:$K$190,9,FALSE())*0.811905633063426</f>
        <v>11.355504587381761</v>
      </c>
      <c r="O37" s="194">
        <f>VLOOKUP(C37,'BD  Materiales y equipos'!$B$3:$K$190,10,FALSE())*1.14265904837007</f>
        <v>0</v>
      </c>
    </row>
    <row r="38" spans="1:18" ht="13.5" thickBot="1">
      <c r="A38" s="584" t="str">
        <f>IF(VLOOKUP(C38,'BD  Materiales y equipos'!$B$3:$F$190,1,FALSE())=C38,"CORRECTO","NO LISTADO")</f>
        <v>CORRECTO</v>
      </c>
      <c r="B38" s="147" t="s">
        <v>411</v>
      </c>
      <c r="C38" s="147" t="s">
        <v>766</v>
      </c>
      <c r="D38" s="191" t="str">
        <f>VLOOKUP(C38,'BD  Materiales y equipos'!$B$3:$F$190,2,FALSE())</f>
        <v>Unidad</v>
      </c>
      <c r="E38" s="191">
        <f>VLOOKUP(C38,'BD  Materiales y equipos'!$B$3:$F$190,3,FALSE())</f>
        <v>0</v>
      </c>
      <c r="F38" s="191" t="str">
        <f>VLOOKUP(C38,'BD  Materiales y equipos'!$B$3:$F$190,4,FALSE())</f>
        <v>300#</v>
      </c>
      <c r="G38" s="133">
        <v>1</v>
      </c>
      <c r="H38" s="194">
        <f>VLOOKUP(C38,'BD  Materiales y equipos'!$B$3:$K$190,8,FALSE())*G38</f>
        <v>242.16061057550397</v>
      </c>
      <c r="I38" s="194">
        <f t="shared" si="2"/>
        <v>2346.6873675505508</v>
      </c>
      <c r="J38" s="194">
        <f t="shared" si="3"/>
        <v>1346.7452417366164</v>
      </c>
      <c r="K38" s="191" t="str">
        <f>VLOOKUP(C38,'BD  Materiales y equipos'!$B$3:$L$190,11,FALSE())</f>
        <v>IMPORTADO</v>
      </c>
      <c r="L38" s="436">
        <f t="shared" si="0"/>
        <v>1</v>
      </c>
      <c r="M38" s="421">
        <f t="shared" si="4"/>
        <v>1</v>
      </c>
      <c r="N38" s="194">
        <f>VLOOKUP(C38,'BD  Materiales y equipos'!$B$3:$K$190,9,FALSE())*0.811905633063426</f>
        <v>9.6906237640116544</v>
      </c>
      <c r="O38" s="194">
        <f>VLOOKUP(C38,'BD  Materiales y equipos'!$B$3:$K$190,10,FALSE())*1.14265904837007</f>
        <v>5.5613720106503894</v>
      </c>
    </row>
    <row r="39" spans="1:18" ht="13.5" thickBot="1">
      <c r="A39" s="584" t="str">
        <f>IF(VLOOKUP(C39,'BD  Materiales y equipos'!$B$3:$F$190,1,FALSE())=C39,"CORRECTO","NO LISTADO")</f>
        <v>CORRECTO</v>
      </c>
      <c r="B39" s="147" t="s">
        <v>411</v>
      </c>
      <c r="C39" s="147" t="s">
        <v>767</v>
      </c>
      <c r="D39" s="191" t="str">
        <f>VLOOKUP(C39,'BD  Materiales y equipos'!$B$3:$F$190,2,FALSE())</f>
        <v>Unidad</v>
      </c>
      <c r="E39" s="191">
        <f>VLOOKUP(C39,'BD  Materiales y equipos'!$B$3:$F$190,3,FALSE())</f>
        <v>0</v>
      </c>
      <c r="F39" s="191" t="str">
        <f>VLOOKUP(C39,'BD  Materiales y equipos'!$B$3:$F$190,4,FALSE())</f>
        <v>150#</v>
      </c>
      <c r="G39" s="133">
        <v>3</v>
      </c>
      <c r="H39" s="194">
        <f>VLOOKUP(C39,'BD  Materiales y equipos'!$B$3:$K$190,8,FALSE())*G39</f>
        <v>504.79803748643656</v>
      </c>
      <c r="I39" s="194">
        <f t="shared" si="2"/>
        <v>3421.0373979064489</v>
      </c>
      <c r="J39" s="194">
        <f t="shared" si="3"/>
        <v>2807.3696767083143</v>
      </c>
      <c r="K39" s="191" t="str">
        <f>VLOOKUP(C39,'BD  Materiales y equipos'!$B$3:$L$190,11,FALSE())</f>
        <v>IMPORTADO</v>
      </c>
      <c r="L39" s="436">
        <f t="shared" si="0"/>
        <v>1</v>
      </c>
      <c r="M39" s="421">
        <f t="shared" si="4"/>
        <v>1</v>
      </c>
      <c r="N39" s="194">
        <f>VLOOKUP(C39,'BD  Materiales y equipos'!$B$3:$K$190,9,FALSE())*0.811905633063426</f>
        <v>6.777041794657074</v>
      </c>
      <c r="O39" s="194">
        <f>VLOOKUP(C39,'BD  Materiales y equipos'!$B$3:$K$190,10,FALSE())*1.14265904837007</f>
        <v>5.5613720106503894</v>
      </c>
    </row>
    <row r="40" spans="1:18" ht="13.5" thickBot="1">
      <c r="A40" s="584" t="str">
        <f>IF(VLOOKUP(C40,'BD  Materiales y equipos'!$B$3:$F$190,1,FALSE())=C40,"CORRECTO","NO LISTADO")</f>
        <v>CORRECTO</v>
      </c>
      <c r="B40" s="147" t="s">
        <v>411</v>
      </c>
      <c r="C40" s="147" t="s">
        <v>768</v>
      </c>
      <c r="D40" s="191" t="str">
        <f>VLOOKUP(C40,'BD  Materiales y equipos'!$B$3:$F$190,2,FALSE())</f>
        <v>Unidad</v>
      </c>
      <c r="E40" s="191">
        <f>VLOOKUP(C40,'BD  Materiales y equipos'!$B$3:$F$190,3,FALSE())</f>
        <v>0</v>
      </c>
      <c r="F40" s="191" t="str">
        <f>VLOOKUP(C40,'BD  Materiales y equipos'!$B$3:$F$190,4,FALSE())</f>
        <v>300#</v>
      </c>
      <c r="G40" s="133">
        <v>3</v>
      </c>
      <c r="H40" s="194">
        <f>VLOOKUP(C40,'BD  Materiales y equipos'!$B$3:$K$190,8,FALSE())*G40</f>
        <v>355.22824860156646</v>
      </c>
      <c r="I40" s="194">
        <f t="shared" si="2"/>
        <v>2287.3509374042424</v>
      </c>
      <c r="J40" s="194">
        <f t="shared" si="3"/>
        <v>1975.5564391651101</v>
      </c>
      <c r="K40" s="191" t="str">
        <f>VLOOKUP(C40,'BD  Materiales y equipos'!$B$3:$L$190,11,FALSE())</f>
        <v>IMPORTADO</v>
      </c>
      <c r="L40" s="436">
        <f t="shared" si="0"/>
        <v>1</v>
      </c>
      <c r="M40" s="421">
        <f t="shared" si="4"/>
        <v>1</v>
      </c>
      <c r="N40" s="194">
        <f>VLOOKUP(C40,'BD  Materiales y equipos'!$B$3:$K$190,9,FALSE())*0.811905633063426</f>
        <v>6.4391020320284174</v>
      </c>
      <c r="O40" s="194">
        <f>VLOOKUP(C40,'BD  Materiales y equipos'!$B$3:$K$190,10,FALSE())*1.14265904837007</f>
        <v>5.5613720106503894</v>
      </c>
    </row>
    <row r="41" spans="1:18" ht="26.25" thickBot="1">
      <c r="A41" s="584" t="str">
        <f>IF(VLOOKUP(C41,'BD  Materiales y equipos'!$B$3:$F$190,1,FALSE())=C41,"CORRECTO","NO LISTADO")</f>
        <v>CORRECTO</v>
      </c>
      <c r="B41" s="147" t="s">
        <v>411</v>
      </c>
      <c r="C41" s="147" t="s">
        <v>769</v>
      </c>
      <c r="D41" s="191" t="str">
        <f>VLOOKUP(C41,'BD  Materiales y equipos'!$B$3:$F$190,2,FALSE())</f>
        <v>Unidad</v>
      </c>
      <c r="E41" s="191">
        <f>VLOOKUP(C41,'BD  Materiales y equipos'!$B$3:$F$190,3,FALSE())</f>
        <v>0</v>
      </c>
      <c r="F41" s="191" t="str">
        <f>VLOOKUP(C41,'BD  Materiales y equipos'!$B$3:$F$190,4,FALSE())</f>
        <v>300#</v>
      </c>
      <c r="G41" s="133">
        <v>3</v>
      </c>
      <c r="H41" s="194">
        <f>VLOOKUP(C41,'BD  Materiales y equipos'!$B$3:$K$190,8,FALSE())*G41</f>
        <v>355.22824860156646</v>
      </c>
      <c r="I41" s="194">
        <f t="shared" si="2"/>
        <v>1909.7343810478555</v>
      </c>
      <c r="J41" s="194">
        <f t="shared" si="3"/>
        <v>1975.5564391651101</v>
      </c>
      <c r="K41" s="191" t="str">
        <f>VLOOKUP(C41,'BD  Materiales y equipos'!$B$3:$L$190,11,FALSE())</f>
        <v>IMPORTADO</v>
      </c>
      <c r="L41" s="436">
        <f t="shared" si="0"/>
        <v>1</v>
      </c>
      <c r="M41" s="421">
        <f t="shared" si="4"/>
        <v>1</v>
      </c>
      <c r="N41" s="194">
        <f>VLOOKUP(C41,'BD  Materiales y equipos'!$B$3:$K$190,9,FALSE())*0.811905633063426</f>
        <v>5.3760768986305054</v>
      </c>
      <c r="O41" s="194">
        <f>VLOOKUP(C41,'BD  Materiales y equipos'!$B$3:$K$190,10,FALSE())*1.14265904837007</f>
        <v>5.5613720106503894</v>
      </c>
    </row>
    <row r="42" spans="1:18" ht="13.5" thickBot="1">
      <c r="A42" s="584" t="str">
        <f>IF(VLOOKUP(C42,'BD  Materiales y equipos'!$B$3:$F$190,1,FALSE())=C42,"CORRECTO","NO LISTADO")</f>
        <v>CORRECTO</v>
      </c>
      <c r="B42" s="147" t="s">
        <v>411</v>
      </c>
      <c r="C42" s="147" t="s">
        <v>741</v>
      </c>
      <c r="D42" s="191" t="str">
        <f>VLOOKUP(C42,'BD  Materiales y equipos'!$B$3:$F$190,2,FALSE())</f>
        <v>Unidad</v>
      </c>
      <c r="E42" s="191">
        <f>VLOOKUP(C42,'BD  Materiales y equipos'!$B$3:$F$190,3,FALSE())</f>
        <v>0</v>
      </c>
      <c r="F42" s="191" t="str">
        <f>VLOOKUP(C42,'BD  Materiales y equipos'!$B$3:$F$190,4,FALSE())</f>
        <v>150#</v>
      </c>
      <c r="G42" s="133">
        <v>8</v>
      </c>
      <c r="H42" s="194">
        <f>VLOOKUP(C42,'BD  Materiales y equipos'!$B$3:$K$190,8,FALSE())*G42</f>
        <v>104.46143985609974</v>
      </c>
      <c r="I42" s="194">
        <f t="shared" si="2"/>
        <v>718.73110145672604</v>
      </c>
      <c r="J42" s="194">
        <f t="shared" si="3"/>
        <v>773.7850498973188</v>
      </c>
      <c r="K42" s="191" t="str">
        <f>VLOOKUP(C42,'BD  Materiales y equipos'!$B$3:$L$190,11,FALSE())</f>
        <v>IMPORTADO</v>
      </c>
      <c r="L42" s="436">
        <f t="shared" si="0"/>
        <v>1</v>
      </c>
      <c r="M42" s="421">
        <f t="shared" si="4"/>
        <v>1</v>
      </c>
      <c r="N42" s="194">
        <f>VLOOKUP(C42,'BD  Materiales y equipos'!$B$3:$K$190,9,FALSE())*0.811905633063426</f>
        <v>6.8803484084348243</v>
      </c>
      <c r="O42" s="194">
        <f>VLOOKUP(C42,'BD  Materiales y equipos'!$B$3:$K$190,10,FALSE())*1.14265904837007</f>
        <v>7.4073749219160865</v>
      </c>
    </row>
    <row r="43" spans="1:18" ht="13.5" thickBot="1">
      <c r="A43" s="584" t="str">
        <f>IF(VLOOKUP(C43,'BD  Materiales y equipos'!$B$3:$F$190,1,FALSE())=C43,"CORRECTO","NO LISTADO")</f>
        <v>CORRECTO</v>
      </c>
      <c r="B43" s="147" t="s">
        <v>411</v>
      </c>
      <c r="C43" s="147" t="s">
        <v>742</v>
      </c>
      <c r="D43" s="191" t="str">
        <f>VLOOKUP(C43,'BD  Materiales y equipos'!$B$3:$F$190,2,FALSE())</f>
        <v>Unidad</v>
      </c>
      <c r="E43" s="191">
        <f>VLOOKUP(C43,'BD  Materiales y equipos'!$B$3:$F$190,3,FALSE())</f>
        <v>0</v>
      </c>
      <c r="F43" s="191" t="str">
        <f>VLOOKUP(C43,'BD  Materiales y equipos'!$B$3:$F$190,4,FALSE())</f>
        <v>150#</v>
      </c>
      <c r="G43" s="133">
        <v>16</v>
      </c>
      <c r="H43" s="194">
        <f>VLOOKUP(C43,'BD  Materiales y equipos'!$B$3:$K$190,8,FALSE())*G43</f>
        <v>71.223708992795281</v>
      </c>
      <c r="I43" s="194">
        <f t="shared" si="2"/>
        <v>845.35477017546884</v>
      </c>
      <c r="J43" s="194">
        <f t="shared" si="3"/>
        <v>527.58071583908099</v>
      </c>
      <c r="K43" s="191" t="str">
        <f>VLOOKUP(C43,'BD  Materiales y equipos'!$B$3:$L$190,11,FALSE())</f>
        <v>IMPORTADO</v>
      </c>
      <c r="L43" s="436">
        <f t="shared" si="0"/>
        <v>1</v>
      </c>
      <c r="M43" s="421">
        <f t="shared" si="4"/>
        <v>1</v>
      </c>
      <c r="N43" s="194">
        <f>VLOOKUP(C43,'BD  Materiales y equipos'!$B$3:$K$190,9,FALSE())*0.811905633063426</f>
        <v>11.869007976837905</v>
      </c>
      <c r="O43" s="194">
        <f>VLOOKUP(C43,'BD  Materiales y equipos'!$B$3:$K$190,10,FALSE())*1.14265904837007</f>
        <v>7.4073749219160865</v>
      </c>
    </row>
    <row r="44" spans="1:18" ht="13.5" thickBot="1">
      <c r="A44" s="584" t="str">
        <f>IF(VLOOKUP(C44,'BD  Materiales y equipos'!$B$3:$F$190,1,FALSE())=C44,"CORRECTO","NO LISTADO")</f>
        <v>CORRECTO</v>
      </c>
      <c r="B44" s="147" t="s">
        <v>411</v>
      </c>
      <c r="C44" s="147" t="s">
        <v>770</v>
      </c>
      <c r="D44" s="191" t="str">
        <f>VLOOKUP(C44,'BD  Materiales y equipos'!$B$3:$F$190,2,FALSE())</f>
        <v>Unidad</v>
      </c>
      <c r="E44" s="191">
        <f>VLOOKUP(C44,'BD  Materiales y equipos'!$B$3:$F$190,3,FALSE())</f>
        <v>0</v>
      </c>
      <c r="F44" s="191">
        <f>VLOOKUP(C44,'BD  Materiales y equipos'!$B$3:$F$190,4,FALSE())</f>
        <v>0</v>
      </c>
      <c r="G44" s="133">
        <v>7</v>
      </c>
      <c r="H44" s="194">
        <f>VLOOKUP(C44,'BD  Materiales y equipos'!$B$3:$K$190,8,FALSE())*G44</f>
        <v>145.41507252695703</v>
      </c>
      <c r="I44" s="194">
        <f t="shared" si="2"/>
        <v>13332.890334260639</v>
      </c>
      <c r="J44" s="194">
        <f t="shared" si="3"/>
        <v>9519.2977143958651</v>
      </c>
      <c r="K44" s="191" t="str">
        <f>VLOOKUP(C44,'BD  Materiales y equipos'!$B$3:$L$190,11,FALSE())</f>
        <v>IMPORTADO</v>
      </c>
      <c r="L44" s="436">
        <f t="shared" si="0"/>
        <v>1</v>
      </c>
      <c r="M44" s="421">
        <f t="shared" si="4"/>
        <v>1</v>
      </c>
      <c r="N44" s="194">
        <f>VLOOKUP(C44,'BD  Materiales y equipos'!$B$3:$K$190,9,FALSE())*0.811905633063426</f>
        <v>91.688503141852706</v>
      </c>
      <c r="O44" s="194">
        <f>VLOOKUP(C44,'BD  Materiales y equipos'!$B$3:$K$190,10,FALSE())*1.14265904837007</f>
        <v>65.462936881121308</v>
      </c>
    </row>
    <row r="45" spans="1:18" ht="13.5" thickBot="1">
      <c r="A45" s="585" t="str">
        <f>IF(VLOOKUP(C45,'BD  Materiales y equipos'!$B$3:$F$190,1,FALSE())=C45,"CORRECTO","NO LISTADO")</f>
        <v>CORRECTO</v>
      </c>
      <c r="B45" s="586" t="s">
        <v>1017</v>
      </c>
      <c r="C45" s="586" t="s">
        <v>885</v>
      </c>
      <c r="D45" s="587" t="str">
        <f>VLOOKUP(C45,'BD  Materiales y equipos'!$B$3:$F$190,2,FALSE())</f>
        <v>Unidad</v>
      </c>
      <c r="E45" s="587">
        <f>VLOOKUP(C45,'BD  Materiales y equipos'!$B$3:$F$190,3,FALSE())</f>
        <v>0</v>
      </c>
      <c r="F45" s="587"/>
      <c r="G45" s="599">
        <v>3</v>
      </c>
      <c r="H45" s="589">
        <f>VLOOKUP(C45,'BD  Materiales y equipos'!$B$3:$K$190,8,FALSE())*3</f>
        <v>19364.383561643834</v>
      </c>
      <c r="I45" s="589">
        <f>N45*L45</f>
        <v>1150209.2965597231</v>
      </c>
      <c r="J45" s="589">
        <f>O45*H45*M45</f>
        <v>212196.85681015311</v>
      </c>
      <c r="K45" s="587" t="str">
        <f>VLOOKUP(C45,'BD  Materiales y equipos'!$B$3:$L$190,11,FALSE())</f>
        <v>IMPORTADO</v>
      </c>
      <c r="L45" s="436">
        <f>ppi_usa_bom_ind/ppi_usa_bom_ind_base</f>
        <v>1</v>
      </c>
      <c r="M45" s="421">
        <f t="shared" si="4"/>
        <v>1</v>
      </c>
      <c r="N45" s="589">
        <f>IF(tip_estacion="REPOTENCIACIÓN CASO 1",'Modelo Potencia de bombeo'!L4,'Modelo Potencia de bombeo'!F6)*1.28149014580997</f>
        <v>1150209.2965597231</v>
      </c>
      <c r="O45" s="589">
        <f>VLOOKUP(C45,'BD  Materiales y equipos'!$B$3:$K$190,10,FALSE())*1.14265904837007</f>
        <v>10.958100273868972</v>
      </c>
      <c r="Q45" s="70"/>
      <c r="R45" s="70"/>
    </row>
  </sheetData>
  <conditionalFormatting sqref="A2:A45">
    <cfRule type="cellIs" dxfId="15" priority="2" operator="equal">
      <formula>"CORRECTO"</formula>
    </cfRule>
    <cfRule type="cellIs" dxfId="14" priority="3" operator="notEqual">
      <formula>"CORRECTO"</formula>
    </cfRule>
  </conditionalFormatting>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3">
    <tabColor theme="5" tint="0.79998168889431442"/>
  </sheetPr>
  <dimension ref="A1:O45"/>
  <sheetViews>
    <sheetView showGridLines="0" showRowColHeaders="0" topLeftCell="H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3.85546875" customWidth="1"/>
    <col min="2" max="2" width="19.140625" customWidth="1"/>
    <col min="3" max="3" width="66.42578125" customWidth="1"/>
    <col min="4" max="4" width="10.7109375" customWidth="1"/>
    <col min="5" max="5" width="14" customWidth="1"/>
    <col min="6" max="6" width="8.42578125" customWidth="1"/>
    <col min="7" max="7" width="13.42578125" customWidth="1"/>
    <col min="8" max="8" width="20.140625" style="190" customWidth="1"/>
    <col min="9" max="9" width="19.7109375" customWidth="1"/>
    <col min="10" max="10" width="15.42578125" customWidth="1"/>
    <col min="11" max="11" width="21" customWidth="1"/>
    <col min="12" max="12" width="18.7109375" customWidth="1"/>
    <col min="13" max="13" width="19" customWidth="1"/>
    <col min="14" max="14" width="11.42578125"/>
    <col min="15" max="1025" width="10.42578125" customWidth="1"/>
  </cols>
  <sheetData>
    <row r="1" spans="1:15" ht="94.5" thickBot="1">
      <c r="A1" s="596" t="s">
        <v>955</v>
      </c>
      <c r="B1" s="597" t="s">
        <v>956</v>
      </c>
      <c r="C1" s="597" t="s">
        <v>957</v>
      </c>
      <c r="D1" s="597" t="s">
        <v>699</v>
      </c>
      <c r="E1" s="597" t="s">
        <v>700</v>
      </c>
      <c r="F1" s="597" t="s">
        <v>701</v>
      </c>
      <c r="G1" s="597" t="s">
        <v>673</v>
      </c>
      <c r="H1" s="598" t="s">
        <v>958</v>
      </c>
      <c r="I1" s="597" t="s">
        <v>964</v>
      </c>
      <c r="J1" s="597" t="s">
        <v>960</v>
      </c>
      <c r="K1" s="604" t="s">
        <v>706</v>
      </c>
      <c r="L1" s="605" t="s">
        <v>961</v>
      </c>
      <c r="M1" s="197" t="s">
        <v>962</v>
      </c>
      <c r="N1" s="597" t="s">
        <v>965</v>
      </c>
      <c r="O1" s="597" t="s">
        <v>966</v>
      </c>
    </row>
    <row r="2" spans="1:15" ht="13.5" thickBot="1">
      <c r="A2" s="607" t="str">
        <f>IF(VLOOKUP(C2,'BD  Materiales y equipos'!$B$3:$F$190,1,FALSE())=C2,"CORRECTO","NO LISTADO")</f>
        <v>CORRECTO</v>
      </c>
      <c r="B2" s="608" t="s">
        <v>411</v>
      </c>
      <c r="C2" s="608" t="s">
        <v>744</v>
      </c>
      <c r="D2" s="609" t="str">
        <f>VLOOKUP(C2,'BD  Materiales y equipos'!$B$3:$F$190,2,FALSE())</f>
        <v>Metro lineal</v>
      </c>
      <c r="E2" s="609" t="str">
        <f>VLOOKUP(C2,'BD  Materiales y equipos'!$B$3:$F$190,3,FALSE())</f>
        <v>STD</v>
      </c>
      <c r="F2" s="609">
        <f>VLOOKUP(C2,'BD  Materiales y equipos'!$B$3:$F$190,4,FALSE())</f>
        <v>0</v>
      </c>
      <c r="G2" s="610">
        <v>48</v>
      </c>
      <c r="H2" s="611">
        <f>VLOOKUP(C2,'BD  Materiales y equipos'!$B$3:$I$190,8,FALSE())*G2</f>
        <v>1053.3540155267565</v>
      </c>
      <c r="I2" s="611">
        <f>N2*H2*L2</f>
        <v>2474.992627065802</v>
      </c>
      <c r="J2" s="611">
        <f>O2*H2*M2</f>
        <v>3633.3653891137192</v>
      </c>
      <c r="K2" s="609" t="str">
        <f>VLOOKUP(C2,'BD  Materiales y equipos'!$B$3:$L$190,11,FALSE())</f>
        <v>IMPORTADO</v>
      </c>
      <c r="L2" s="436">
        <f t="shared" ref="L2:L44" si="0">+acero/acero_base</f>
        <v>1</v>
      </c>
      <c r="M2" s="421">
        <f t="shared" ref="M2:M15" si="1">(0.65*ipc/ipc_base*trm_base/trm+0.35*fac_mano_obra)</f>
        <v>1</v>
      </c>
      <c r="N2" s="594">
        <f>VLOOKUP(C2,'BD  Materiales y equipos'!$B$3:$K$190,9,FALSE())*0.811905633063426</f>
        <v>2.3496304097042997</v>
      </c>
      <c r="O2" s="594">
        <f>VLOOKUP(C2,'BD  Materiales y equipos'!$B$3:$K$190,10,FALSE())*1.14265904837007</f>
        <v>3.4493297937415299</v>
      </c>
    </row>
    <row r="3" spans="1:15" ht="13.5" thickBot="1">
      <c r="A3" s="584" t="str">
        <f>IF(VLOOKUP(C3,'BD  Materiales y equipos'!$B$3:$F$190,1,FALSE())=C3,"CORRECTO","NO LISTADO")</f>
        <v>CORRECTO</v>
      </c>
      <c r="B3" s="147" t="s">
        <v>411</v>
      </c>
      <c r="C3" s="147" t="s">
        <v>745</v>
      </c>
      <c r="D3" s="191" t="str">
        <f>VLOOKUP(C3,'BD  Materiales y equipos'!$B$3:$F$190,2,FALSE())</f>
        <v>Metro lineal</v>
      </c>
      <c r="E3" s="191">
        <f>VLOOKUP(C3,'BD  Materiales y equipos'!$B$3:$F$190,3,FALSE())</f>
        <v>40</v>
      </c>
      <c r="F3" s="191">
        <f>VLOOKUP(C3,'BD  Materiales y equipos'!$B$3:$F$190,4,FALSE())</f>
        <v>0</v>
      </c>
      <c r="G3" s="133">
        <v>48</v>
      </c>
      <c r="H3" s="194">
        <f>VLOOKUP(C3,'BD  Materiales y equipos'!$B$3:$I$190,8,FALSE())*G3</f>
        <v>860.23557959500454</v>
      </c>
      <c r="I3" s="194">
        <f t="shared" ref="I3:I44" si="2">N3*H3*L3</f>
        <v>1538.1963523352938</v>
      </c>
      <c r="J3" s="194">
        <f t="shared" ref="J3:J44" si="3">O3*H3*M3</f>
        <v>2967.2362143335627</v>
      </c>
      <c r="K3" s="191" t="str">
        <f>VLOOKUP(C3,'BD  Materiales y equipos'!$B$3:$L$190,11,FALSE())</f>
        <v>IMPORTADO</v>
      </c>
      <c r="L3" s="436">
        <f t="shared" si="0"/>
        <v>1</v>
      </c>
      <c r="M3" s="421">
        <f t="shared" si="1"/>
        <v>1</v>
      </c>
      <c r="N3" s="594">
        <f>VLOOKUP(C3,'BD  Materiales y equipos'!$B$3:$K$190,9,FALSE())*0.811905633063426</f>
        <v>1.7881105929836922</v>
      </c>
      <c r="O3" s="594">
        <f>VLOOKUP(C3,'BD  Materiales y equipos'!$B$3:$K$190,10,FALSE())*1.14265904837007</f>
        <v>3.4493297937415299</v>
      </c>
    </row>
    <row r="4" spans="1:15" ht="13.5" thickBot="1">
      <c r="A4" s="584" t="str">
        <f>IF(VLOOKUP(C4,'BD  Materiales y equipos'!$B$3:$F$190,1,FALSE())=C4,"CORRECTO","NO LISTADO")</f>
        <v>CORRECTO</v>
      </c>
      <c r="B4" s="147" t="s">
        <v>411</v>
      </c>
      <c r="C4" s="147" t="s">
        <v>798</v>
      </c>
      <c r="D4" s="191" t="str">
        <f>VLOOKUP(C4,'BD  Materiales y equipos'!$B$3:$F$190,2,FALSE())</f>
        <v>Metro lineal</v>
      </c>
      <c r="E4" s="191" t="str">
        <f>VLOOKUP(C4,'BD  Materiales y equipos'!$B$3:$F$190,3,FALSE())</f>
        <v>XS</v>
      </c>
      <c r="F4" s="191">
        <f>VLOOKUP(C4,'BD  Materiales y equipos'!$B$3:$F$190,4,FALSE())</f>
        <v>0</v>
      </c>
      <c r="G4" s="133">
        <v>48</v>
      </c>
      <c r="H4" s="194">
        <f>VLOOKUP(C4,'BD  Materiales y equipos'!$B$3:$I$190,8,FALSE())*G4</f>
        <v>922.13523194634547</v>
      </c>
      <c r="I4" s="194">
        <f t="shared" si="2"/>
        <v>2162.7272021556319</v>
      </c>
      <c r="J4" s="194">
        <f t="shared" si="3"/>
        <v>3180.7485294112857</v>
      </c>
      <c r="K4" s="191" t="str">
        <f>VLOOKUP(C4,'BD  Materiales y equipos'!$B$3:$L$190,11,FALSE())</f>
        <v>IMPORTADO</v>
      </c>
      <c r="L4" s="436">
        <f t="shared" si="0"/>
        <v>1</v>
      </c>
      <c r="M4" s="421">
        <f t="shared" si="1"/>
        <v>1</v>
      </c>
      <c r="N4" s="594">
        <f>VLOOKUP(C4,'BD  Materiales y equipos'!$B$3:$K$190,9,FALSE())*0.811905633063426</f>
        <v>2.34534711095549</v>
      </c>
      <c r="O4" s="594">
        <f>VLOOKUP(C4,'BD  Materiales y equipos'!$B$3:$K$190,10,FALSE())*1.14265904837007</f>
        <v>3.4493297937415299</v>
      </c>
    </row>
    <row r="5" spans="1:15" ht="13.5" thickBot="1">
      <c r="A5" s="584" t="str">
        <f>IF(VLOOKUP(C5,'BD  Materiales y equipos'!$B$3:$F$190,1,FALSE())=C5,"CORRECTO","NO LISTADO")</f>
        <v>CORRECTO</v>
      </c>
      <c r="B5" s="147" t="s">
        <v>411</v>
      </c>
      <c r="C5" s="147" t="s">
        <v>800</v>
      </c>
      <c r="D5" s="191" t="str">
        <f>VLOOKUP(C5,'BD  Materiales y equipos'!$B$3:$F$190,2,FALSE())</f>
        <v>Metro lineal</v>
      </c>
      <c r="E5" s="191" t="str">
        <f>VLOOKUP(C5,'BD  Materiales y equipos'!$B$3:$F$190,3,FALSE())</f>
        <v>XS</v>
      </c>
      <c r="F5" s="191">
        <f>VLOOKUP(C5,'BD  Materiales y equipos'!$B$3:$F$190,4,FALSE())</f>
        <v>0</v>
      </c>
      <c r="G5" s="133">
        <v>240</v>
      </c>
      <c r="H5" s="194">
        <f>VLOOKUP(C5,'BD  Materiales y equipos'!$B$3:$I$190,8,FALSE())*G5</f>
        <v>6950.9917828783146</v>
      </c>
      <c r="I5" s="194">
        <f t="shared" si="2"/>
        <v>16332.932330242314</v>
      </c>
      <c r="J5" s="194">
        <f t="shared" si="3"/>
        <v>38362.020884375641</v>
      </c>
      <c r="K5" s="191" t="str">
        <f>VLOOKUP(C5,'BD  Materiales y equipos'!$B$3:$L$190,11,FALSE())</f>
        <v>IMPORTADO</v>
      </c>
      <c r="L5" s="436">
        <f t="shared" si="0"/>
        <v>1</v>
      </c>
      <c r="M5" s="421">
        <f t="shared" si="1"/>
        <v>1</v>
      </c>
      <c r="N5" s="594">
        <f>VLOOKUP(C5,'BD  Materiales y equipos'!$B$3:$K$190,9,FALSE())*0.811905633063426</f>
        <v>2.3497268937180444</v>
      </c>
      <c r="O5" s="594">
        <f>VLOOKUP(C5,'BD  Materiales y equipos'!$B$3:$K$190,10,FALSE())*1.14265904837007</f>
        <v>5.5189276699864598</v>
      </c>
    </row>
    <row r="6" spans="1:15" ht="13.5" thickBot="1">
      <c r="A6" s="584" t="str">
        <f>IF(VLOOKUP(C6,'BD  Materiales y equipos'!$B$3:$F$190,1,FALSE())=C6,"CORRECTO","NO LISTADO")</f>
        <v>CORRECTO</v>
      </c>
      <c r="B6" s="147" t="s">
        <v>411</v>
      </c>
      <c r="C6" s="147" t="s">
        <v>712</v>
      </c>
      <c r="D6" s="191" t="str">
        <f>VLOOKUP(C6,'BD  Materiales y equipos'!$B$3:$F$190,2,FALSE())</f>
        <v>Metro lineal</v>
      </c>
      <c r="E6" s="191">
        <f>VLOOKUP(C6,'BD  Materiales y equipos'!$B$3:$F$190,3,FALSE())</f>
        <v>40</v>
      </c>
      <c r="F6" s="191">
        <f>VLOOKUP(C6,'BD  Materiales y equipos'!$B$3:$F$190,4,FALSE())</f>
        <v>0</v>
      </c>
      <c r="G6" s="133">
        <v>36</v>
      </c>
      <c r="H6" s="194">
        <f>VLOOKUP(C6,'BD  Materiales y equipos'!$B$3:$I$190,8,FALSE())*G6</f>
        <v>172.02591740792167</v>
      </c>
      <c r="I6" s="194">
        <f t="shared" si="2"/>
        <v>537.79045401196265</v>
      </c>
      <c r="J6" s="194">
        <f t="shared" si="3"/>
        <v>713.93280398509421</v>
      </c>
      <c r="K6" s="191" t="str">
        <f>VLOOKUP(C6,'BD  Materiales y equipos'!$B$3:$L$190,11,FALSE())</f>
        <v>IMPORTADO</v>
      </c>
      <c r="L6" s="436">
        <f t="shared" si="0"/>
        <v>1</v>
      </c>
      <c r="M6" s="421">
        <f t="shared" si="1"/>
        <v>1</v>
      </c>
      <c r="N6" s="594">
        <f>VLOOKUP(C6,'BD  Materiales y equipos'!$B$3:$K$190,9,FALSE())*0.811905633063426</f>
        <v>3.1262176195038727</v>
      </c>
      <c r="O6" s="594">
        <f>VLOOKUP(C6,'BD  Materiales y equipos'!$B$3:$K$190,10,FALSE())*1.14265904837007</f>
        <v>4.1501467612706255</v>
      </c>
    </row>
    <row r="7" spans="1:15" ht="13.5" thickBot="1">
      <c r="A7" s="584" t="str">
        <f>IF(VLOOKUP(C7,'BD  Materiales y equipos'!$B$3:$F$190,1,FALSE())=C7,"CORRECTO","NO LISTADO")</f>
        <v>CORRECTO</v>
      </c>
      <c r="B7" s="147" t="s">
        <v>411</v>
      </c>
      <c r="C7" s="147" t="s">
        <v>801</v>
      </c>
      <c r="D7" s="191" t="str">
        <f>VLOOKUP(C7,'BD  Materiales y equipos'!$B$3:$F$190,2,FALSE())</f>
        <v>Metro lineal</v>
      </c>
      <c r="E7" s="191" t="str">
        <f>VLOOKUP(C7,'BD  Materiales y equipos'!$B$3:$F$190,3,FALSE())</f>
        <v>XS</v>
      </c>
      <c r="F7" s="191">
        <f>VLOOKUP(C7,'BD  Materiales y equipos'!$B$3:$F$190,4,FALSE())</f>
        <v>0</v>
      </c>
      <c r="G7" s="133">
        <v>36</v>
      </c>
      <c r="H7" s="194">
        <f>VLOOKUP(C7,'BD  Materiales y equipos'!$B$3:$I$190,8,FALSE())*G7</f>
        <v>238.77748439834622</v>
      </c>
      <c r="I7" s="194">
        <f t="shared" si="2"/>
        <v>564.57038535226582</v>
      </c>
      <c r="J7" s="194">
        <f t="shared" si="3"/>
        <v>990.96160354014387</v>
      </c>
      <c r="K7" s="191" t="str">
        <f>VLOOKUP(C7,'BD  Materiales y equipos'!$B$3:$L$190,11,FALSE())</f>
        <v>IMPORTADO</v>
      </c>
      <c r="L7" s="436">
        <f t="shared" si="0"/>
        <v>1</v>
      </c>
      <c r="M7" s="421">
        <f t="shared" si="1"/>
        <v>1</v>
      </c>
      <c r="N7" s="594">
        <f>VLOOKUP(C7,'BD  Materiales y equipos'!$B$3:$K$190,9,FALSE())*0.811905633063426</f>
        <v>2.3644205263943894</v>
      </c>
      <c r="O7" s="594">
        <f>VLOOKUP(C7,'BD  Materiales y equipos'!$B$3:$K$190,10,FALSE())*1.14265904837007</f>
        <v>4.1501467612706255</v>
      </c>
    </row>
    <row r="8" spans="1:15" ht="13.5" thickBot="1">
      <c r="A8" s="584" t="str">
        <f>IF(VLOOKUP(C8,'BD  Materiales y equipos'!$B$3:$F$190,1,FALSE())=C8,"CORRECTO","NO LISTADO")</f>
        <v>CORRECTO</v>
      </c>
      <c r="B8" s="147" t="s">
        <v>411</v>
      </c>
      <c r="C8" s="147" t="s">
        <v>713</v>
      </c>
      <c r="D8" s="191" t="str">
        <f>VLOOKUP(C8,'BD  Materiales y equipos'!$B$3:$F$190,2,FALSE())</f>
        <v>Metro lineal</v>
      </c>
      <c r="E8" s="191">
        <f>VLOOKUP(C8,'BD  Materiales y equipos'!$B$3:$F$190,3,FALSE())</f>
        <v>40</v>
      </c>
      <c r="F8" s="191">
        <f>VLOOKUP(C8,'BD  Materiales y equipos'!$B$3:$F$190,4,FALSE())</f>
        <v>0</v>
      </c>
      <c r="G8" s="133">
        <v>36</v>
      </c>
      <c r="H8" s="194">
        <f>VLOOKUP(C8,'BD  Materiales y equipos'!$B$3:$I$190,8,FALSE())*G8</f>
        <v>58.221710679095118</v>
      </c>
      <c r="I8" s="194">
        <f t="shared" si="2"/>
        <v>138.78463329340985</v>
      </c>
      <c r="J8" s="194">
        <f t="shared" si="3"/>
        <v>241.62864401048199</v>
      </c>
      <c r="K8" s="191" t="str">
        <f>VLOOKUP(C8,'BD  Materiales y equipos'!$B$3:$L$190,11,FALSE())</f>
        <v>IMPORTADO</v>
      </c>
      <c r="L8" s="436">
        <f t="shared" si="0"/>
        <v>1</v>
      </c>
      <c r="M8" s="421">
        <f t="shared" si="1"/>
        <v>1</v>
      </c>
      <c r="N8" s="594">
        <f>VLOOKUP(C8,'BD  Materiales y equipos'!$B$3:$K$190,9,FALSE())*0.811905633063426</f>
        <v>2.383726477196098</v>
      </c>
      <c r="O8" s="594">
        <f>VLOOKUP(C8,'BD  Materiales y equipos'!$B$3:$K$190,10,FALSE())*1.14265904837007</f>
        <v>4.1501467612706255</v>
      </c>
    </row>
    <row r="9" spans="1:15" ht="13.5" thickBot="1">
      <c r="A9" s="584" t="str">
        <f>IF(VLOOKUP(C9,'BD  Materiales y equipos'!$B$3:$F$190,1,FALSE())=C9,"CORRECTO","NO LISTADO")</f>
        <v>CORRECTO</v>
      </c>
      <c r="B9" s="147" t="s">
        <v>411</v>
      </c>
      <c r="C9" s="147" t="s">
        <v>802</v>
      </c>
      <c r="D9" s="191" t="str">
        <f>VLOOKUP(C9,'BD  Materiales y equipos'!$B$3:$F$190,2,FALSE())</f>
        <v>Metro lineal</v>
      </c>
      <c r="E9" s="191" t="str">
        <f>VLOOKUP(C9,'BD  Materiales y equipos'!$B$3:$F$190,3,FALSE())</f>
        <v>XS</v>
      </c>
      <c r="F9" s="191">
        <f>VLOOKUP(C9,'BD  Materiales y equipos'!$B$3:$F$190,4,FALSE())</f>
        <v>0</v>
      </c>
      <c r="G9" s="133">
        <v>36</v>
      </c>
      <c r="H9" s="194">
        <f>VLOOKUP(C9,'BD  Materiales y equipos'!$B$3:$I$190,8,FALSE())*G9</f>
        <v>80.019837053405496</v>
      </c>
      <c r="I9" s="194">
        <f t="shared" si="2"/>
        <v>234.51216904183025</v>
      </c>
      <c r="J9" s="194">
        <f t="shared" si="3"/>
        <v>332.09406758459403</v>
      </c>
      <c r="K9" s="191" t="str">
        <f>VLOOKUP(C9,'BD  Materiales y equipos'!$B$3:$L$190,11,FALSE())</f>
        <v>IMPORTADO</v>
      </c>
      <c r="L9" s="436">
        <f t="shared" si="0"/>
        <v>1</v>
      </c>
      <c r="M9" s="421">
        <f t="shared" si="1"/>
        <v>1</v>
      </c>
      <c r="N9" s="594">
        <f>VLOOKUP(C9,'BD  Materiales y equipos'!$B$3:$K$190,9,FALSE())*0.811905633063426</f>
        <v>2.9306754134642397</v>
      </c>
      <c r="O9" s="594">
        <f>VLOOKUP(C9,'BD  Materiales y equipos'!$B$3:$K$190,10,FALSE())*1.14265904837007</f>
        <v>4.1501467612706255</v>
      </c>
    </row>
    <row r="10" spans="1:15" ht="13.5" thickBot="1">
      <c r="A10" s="584" t="str">
        <f>IF(VLOOKUP(C10,'BD  Materiales y equipos'!$B$3:$F$190,1,FALSE())=C10,"CORRECTO","NO LISTADO")</f>
        <v>CORRECTO</v>
      </c>
      <c r="B10" s="147" t="s">
        <v>411</v>
      </c>
      <c r="C10" s="147" t="s">
        <v>771</v>
      </c>
      <c r="D10" s="191" t="str">
        <f>VLOOKUP(C10,'BD  Materiales y equipos'!$B$3:$F$190,2,FALSE())</f>
        <v>Unidad</v>
      </c>
      <c r="E10" s="191" t="str">
        <f>VLOOKUP(C10,'BD  Materiales y equipos'!$B$3:$F$190,3,FALSE())</f>
        <v>STD</v>
      </c>
      <c r="F10" s="191">
        <f>VLOOKUP(C10,'BD  Materiales y equipos'!$B$3:$F$190,4,FALSE())</f>
        <v>0</v>
      </c>
      <c r="G10" s="133">
        <v>12</v>
      </c>
      <c r="H10" s="194">
        <f>VLOOKUP(C10,'BD  Materiales y equipos'!$B$3:$I$190,8,FALSE())*G10</f>
        <v>83.996980501804046</v>
      </c>
      <c r="I10" s="194">
        <f t="shared" si="2"/>
        <v>4438.2169188621629</v>
      </c>
      <c r="J10" s="194">
        <f t="shared" si="3"/>
        <v>2279.8235589228457</v>
      </c>
      <c r="K10" s="191" t="str">
        <f>VLOOKUP(C10,'BD  Materiales y equipos'!$B$3:$L$190,11,FALSE())</f>
        <v>IMPORTADO</v>
      </c>
      <c r="L10" s="436">
        <f t="shared" si="0"/>
        <v>1</v>
      </c>
      <c r="M10" s="421">
        <f t="shared" si="1"/>
        <v>1</v>
      </c>
      <c r="N10" s="594">
        <f>VLOOKUP(C10,'BD  Materiales y equipos'!$B$3:$K$190,9,FALSE())*0.811905633063426</f>
        <v>52.837815030349113</v>
      </c>
      <c r="O10" s="594">
        <f>VLOOKUP(C10,'BD  Materiales y equipos'!$B$3:$K$190,10,FALSE())*1.14265904837007</f>
        <v>27.141732301601969</v>
      </c>
    </row>
    <row r="11" spans="1:15" ht="13.5" thickBot="1">
      <c r="A11" s="584" t="str">
        <f>IF(VLOOKUP(C11,'BD  Materiales y equipos'!$B$3:$F$190,1,FALSE())=C11,"CORRECTO","NO LISTADO")</f>
        <v>CORRECTO</v>
      </c>
      <c r="B11" s="147" t="s">
        <v>411</v>
      </c>
      <c r="C11" s="147" t="s">
        <v>803</v>
      </c>
      <c r="D11" s="191" t="str">
        <f>VLOOKUP(C11,'BD  Materiales y equipos'!$B$3:$F$190,2,FALSE())</f>
        <v>Unidad</v>
      </c>
      <c r="E11" s="191" t="str">
        <f>VLOOKUP(C11,'BD  Materiales y equipos'!$B$3:$F$190,3,FALSE())</f>
        <v>XS</v>
      </c>
      <c r="F11" s="191">
        <f>VLOOKUP(C11,'BD  Materiales y equipos'!$B$3:$F$190,4,FALSE())</f>
        <v>0</v>
      </c>
      <c r="G11" s="133">
        <v>12</v>
      </c>
      <c r="H11" s="194">
        <f>VLOOKUP(C11,'BD  Materiales y equipos'!$B$3:$I$190,8,FALSE())*G11</f>
        <v>69.459041568799492</v>
      </c>
      <c r="I11" s="194">
        <f t="shared" si="2"/>
        <v>4759.1563833531727</v>
      </c>
      <c r="J11" s="194">
        <f t="shared" si="3"/>
        <v>2582.4411893905094</v>
      </c>
      <c r="K11" s="191" t="str">
        <f>VLOOKUP(C11,'BD  Materiales y equipos'!$B$3:$L$190,11,FALSE())</f>
        <v>IMPORTADO</v>
      </c>
      <c r="L11" s="436">
        <f t="shared" si="0"/>
        <v>1</v>
      </c>
      <c r="M11" s="421">
        <f t="shared" si="1"/>
        <v>1</v>
      </c>
      <c r="N11" s="594">
        <f>VLOOKUP(C11,'BD  Materiales y equipos'!$B$3:$K$190,9,FALSE())*0.811905633063426</f>
        <v>68.517449648930253</v>
      </c>
      <c r="O11" s="594">
        <f>VLOOKUP(C11,'BD  Materiales y equipos'!$B$3:$K$190,10,FALSE())*1.14265904837007</f>
        <v>37.179338082754711</v>
      </c>
    </row>
    <row r="12" spans="1:15" ht="13.5" thickBot="1">
      <c r="A12" s="584" t="str">
        <f>IF(VLOOKUP(C12,'BD  Materiales y equipos'!$B$3:$F$190,1,FALSE())=C12,"CORRECTO","NO LISTADO")</f>
        <v>CORRECTO</v>
      </c>
      <c r="B12" s="147" t="s">
        <v>411</v>
      </c>
      <c r="C12" s="147" t="s">
        <v>804</v>
      </c>
      <c r="D12" s="191" t="str">
        <f>VLOOKUP(C12,'BD  Materiales y equipos'!$B$3:$F$190,2,FALSE())</f>
        <v>Unidad</v>
      </c>
      <c r="E12" s="191" t="str">
        <f>VLOOKUP(C12,'BD  Materiales y equipos'!$B$3:$F$190,3,FALSE())</f>
        <v>XS</v>
      </c>
      <c r="F12" s="191">
        <f>VLOOKUP(C12,'BD  Materiales y equipos'!$B$3:$F$190,4,FALSE())</f>
        <v>0</v>
      </c>
      <c r="G12" s="133">
        <v>12</v>
      </c>
      <c r="H12" s="194">
        <f>VLOOKUP(C12,'BD  Materiales y equipos'!$B$3:$I$190,8,FALSE())*G12</f>
        <v>13.730275658948738</v>
      </c>
      <c r="I12" s="194">
        <f t="shared" si="2"/>
        <v>1642.284827305353</v>
      </c>
      <c r="J12" s="194">
        <f t="shared" si="3"/>
        <v>614.6036054935272</v>
      </c>
      <c r="K12" s="191" t="str">
        <f>VLOOKUP(C12,'BD  Materiales y equipos'!$B$3:$L$190,11,FALSE())</f>
        <v>IMPORTADO</v>
      </c>
      <c r="L12" s="436">
        <f t="shared" si="0"/>
        <v>1</v>
      </c>
      <c r="M12" s="421">
        <f t="shared" si="1"/>
        <v>1</v>
      </c>
      <c r="N12" s="594">
        <f>VLOOKUP(C12,'BD  Materiales y equipos'!$B$3:$K$190,9,FALSE())*0.811905633063426</f>
        <v>119.61047746590508</v>
      </c>
      <c r="O12" s="594">
        <f>VLOOKUP(C12,'BD  Materiales y equipos'!$B$3:$K$190,10,FALSE())*1.14265904837007</f>
        <v>44.762655955341863</v>
      </c>
    </row>
    <row r="13" spans="1:15" ht="13.5" thickBot="1">
      <c r="A13" s="584" t="str">
        <f>IF(VLOOKUP(C13,'BD  Materiales y equipos'!$B$3:$F$190,1,FALSE())=C13,"CORRECTO","NO LISTADO")</f>
        <v>CORRECTO</v>
      </c>
      <c r="B13" s="147" t="s">
        <v>411</v>
      </c>
      <c r="C13" s="147" t="s">
        <v>805</v>
      </c>
      <c r="D13" s="191" t="str">
        <f>VLOOKUP(C13,'BD  Materiales y equipos'!$B$3:$F$190,2,FALSE())</f>
        <v>Unidad</v>
      </c>
      <c r="E13" s="191" t="str">
        <f>VLOOKUP(C13,'BD  Materiales y equipos'!$B$3:$F$190,3,FALSE())</f>
        <v>XS</v>
      </c>
      <c r="F13" s="191">
        <f>VLOOKUP(C13,'BD  Materiales y equipos'!$B$3:$F$190,4,FALSE())</f>
        <v>0</v>
      </c>
      <c r="G13" s="133">
        <v>12</v>
      </c>
      <c r="H13" s="194">
        <f>VLOOKUP(C13,'BD  Materiales y equipos'!$B$3:$I$190,8,FALSE())*G13</f>
        <v>3.2306530962232327</v>
      </c>
      <c r="I13" s="194">
        <f t="shared" si="2"/>
        <v>549.3558401197472</v>
      </c>
      <c r="J13" s="194">
        <f t="shared" si="3"/>
        <v>181.30774499604718</v>
      </c>
      <c r="K13" s="191" t="str">
        <f>VLOOKUP(C13,'BD  Materiales y equipos'!$B$3:$L$190,11,FALSE())</f>
        <v>IMPORTADO</v>
      </c>
      <c r="L13" s="436">
        <f t="shared" si="0"/>
        <v>1</v>
      </c>
      <c r="M13" s="421">
        <f t="shared" si="1"/>
        <v>1</v>
      </c>
      <c r="N13" s="594">
        <f>VLOOKUP(C13,'BD  Materiales y equipos'!$B$3:$K$190,9,FALSE())*0.811905633063426</f>
        <v>170.04482491851786</v>
      </c>
      <c r="O13" s="594">
        <f>VLOOKUP(C13,'BD  Materiales y equipos'!$B$3:$K$190,10,FALSE())*1.14265904837007</f>
        <v>56.121081278582167</v>
      </c>
    </row>
    <row r="14" spans="1:15" ht="13.5" thickBot="1">
      <c r="A14" s="584" t="str">
        <f>IF(VLOOKUP(C14,'BD  Materiales y equipos'!$B$3:$F$190,1,FALSE())=C14,"CORRECTO","NO LISTADO")</f>
        <v>CORRECTO</v>
      </c>
      <c r="B14" s="147" t="s">
        <v>411</v>
      </c>
      <c r="C14" s="147" t="s">
        <v>719</v>
      </c>
      <c r="D14" s="191" t="str">
        <f>VLOOKUP(C14,'BD  Materiales y equipos'!$B$3:$F$190,2,FALSE())</f>
        <v>Unidad</v>
      </c>
      <c r="E14" s="191" t="str">
        <f>VLOOKUP(C14,'BD  Materiales y equipos'!$B$3:$F$190,3,FALSE())</f>
        <v>STD</v>
      </c>
      <c r="F14" s="191">
        <f>VLOOKUP(C14,'BD  Materiales y equipos'!$B$3:$F$190,4,FALSE())</f>
        <v>0</v>
      </c>
      <c r="G14" s="133">
        <v>18</v>
      </c>
      <c r="H14" s="194">
        <f>VLOOKUP(C14,'BD  Materiales y equipos'!$B$3:$I$190,8,FALSE())*G14</f>
        <v>14.537938933004545</v>
      </c>
      <c r="I14" s="194">
        <f t="shared" si="2"/>
        <v>1773.8410942813889</v>
      </c>
      <c r="J14" s="194">
        <f t="shared" si="3"/>
        <v>290.19253456314493</v>
      </c>
      <c r="K14" s="191" t="str">
        <f>VLOOKUP(C14,'BD  Materiales y equipos'!$B$3:$L$190,11,FALSE())</f>
        <v>IMPORTADO</v>
      </c>
      <c r="L14" s="436">
        <f t="shared" si="0"/>
        <v>1</v>
      </c>
      <c r="M14" s="421">
        <f t="shared" si="1"/>
        <v>1</v>
      </c>
      <c r="N14" s="594">
        <f>VLOOKUP(C14,'BD  Materiales y equipos'!$B$3:$K$190,9,FALSE())*0.811905633063426</f>
        <v>122.01461998539229</v>
      </c>
      <c r="O14" s="594">
        <f>VLOOKUP(C14,'BD  Materiales y equipos'!$B$3:$K$190,10,FALSE())*1.14265904837007</f>
        <v>19.961050593240525</v>
      </c>
    </row>
    <row r="15" spans="1:15" ht="13.5" thickBot="1">
      <c r="A15" s="584" t="str">
        <f>IF(VLOOKUP(C15,'BD  Materiales y equipos'!$B$3:$F$190,1,FALSE())=C15,"CORRECTO","NO LISTADO")</f>
        <v>CORRECTO</v>
      </c>
      <c r="B15" s="147" t="s">
        <v>411</v>
      </c>
      <c r="C15" s="147" t="s">
        <v>720</v>
      </c>
      <c r="D15" s="191" t="str">
        <f>VLOOKUP(C15,'BD  Materiales y equipos'!$B$3:$F$190,2,FALSE())</f>
        <v>Unidad</v>
      </c>
      <c r="E15" s="191" t="str">
        <f>VLOOKUP(C15,'BD  Materiales y equipos'!$B$3:$F$190,3,FALSE())</f>
        <v>STD</v>
      </c>
      <c r="F15" s="191">
        <f>VLOOKUP(C15,'BD  Materiales y equipos'!$B$3:$F$190,4,FALSE())</f>
        <v>0</v>
      </c>
      <c r="G15" s="133">
        <v>18</v>
      </c>
      <c r="H15" s="194">
        <f>VLOOKUP(C15,'BD  Materiales y equipos'!$B$3:$I$190,8,FALSE())*G15</f>
        <v>2.4229898221674246</v>
      </c>
      <c r="I15" s="194">
        <f t="shared" si="2"/>
        <v>598.508731077829</v>
      </c>
      <c r="J15" s="194">
        <f t="shared" si="3"/>
        <v>120.76251643263885</v>
      </c>
      <c r="K15" s="191" t="str">
        <f>VLOOKUP(C15,'BD  Materiales y equipos'!$B$3:$L$190,11,FALSE())</f>
        <v>IMPORTADO</v>
      </c>
      <c r="L15" s="436">
        <f t="shared" si="0"/>
        <v>1</v>
      </c>
      <c r="M15" s="421">
        <f t="shared" si="1"/>
        <v>1</v>
      </c>
      <c r="N15" s="594">
        <f>VLOOKUP(C15,'BD  Materiales y equipos'!$B$3:$K$190,9,FALSE())*0.811905633063426</f>
        <v>247.01248251321505</v>
      </c>
      <c r="O15" s="594">
        <f>VLOOKUP(C15,'BD  Materiales y equipos'!$B$3:$K$190,10,FALSE())*1.14265904837007</f>
        <v>49.840290424585348</v>
      </c>
    </row>
    <row r="16" spans="1:15" ht="13.5" thickBot="1">
      <c r="A16" s="584" t="str">
        <f>IF(VLOOKUP(C16,'BD  Materiales y equipos'!$B$3:$F$190,1,FALSE())=C16,"CORRECTO","NO LISTADO")</f>
        <v>CORRECTO</v>
      </c>
      <c r="B16" s="147" t="s">
        <v>411</v>
      </c>
      <c r="C16" s="147" t="s">
        <v>750</v>
      </c>
      <c r="D16" s="191" t="str">
        <f>VLOOKUP(C16,'BD  Materiales y equipos'!$B$3:$F$190,2,FALSE())</f>
        <v>Unidad</v>
      </c>
      <c r="E16" s="191">
        <f>VLOOKUP(C16,'BD  Materiales y equipos'!$B$3:$F$190,3,FALSE())</f>
        <v>0</v>
      </c>
      <c r="F16" s="191" t="str">
        <f>VLOOKUP(C16,'BD  Materiales y equipos'!$B$3:$F$190,4,FALSE())</f>
        <v>300#</v>
      </c>
      <c r="G16" s="133">
        <v>2</v>
      </c>
      <c r="H16" s="194">
        <f>VLOOKUP(C16,'BD  Materiales y equipos'!$B$3:$I$190,8,FALSE())*G16</f>
        <v>37.690952789271044</v>
      </c>
      <c r="I16" s="194">
        <f t="shared" si="2"/>
        <v>572.00472124749149</v>
      </c>
      <c r="J16" s="194">
        <f t="shared" si="3"/>
        <v>238.67033344738081</v>
      </c>
      <c r="K16" s="191" t="str">
        <f>VLOOKUP(C16,'BD  Materiales y equipos'!$B$3:$L$190,11,FALSE())</f>
        <v>IMPORTADO</v>
      </c>
      <c r="L16" s="436">
        <f t="shared" si="0"/>
        <v>1</v>
      </c>
      <c r="M16" s="421">
        <f t="shared" ref="M16:M45" si="4">(0.65*ipc/ipc_base*trm_base/trm+0.35*fac_mano_obra)</f>
        <v>1</v>
      </c>
      <c r="N16" s="594">
        <f>VLOOKUP(C16,'BD  Materiales y equipos'!$B$3:$K$190,9,FALSE())*0.811905633063426</f>
        <v>15.176180990848183</v>
      </c>
      <c r="O16" s="594">
        <f>VLOOKUP(C16,'BD  Materiales y equipos'!$B$3:$K$190,10,FALSE())*1.14265904837007</f>
        <v>6.3322976944037288</v>
      </c>
    </row>
    <row r="17" spans="1:15" ht="13.5" thickBot="1">
      <c r="A17" s="584" t="str">
        <f>IF(VLOOKUP(C17,'BD  Materiales y equipos'!$B$3:$F$190,1,FALSE())=C17,"CORRECTO","NO LISTADO")</f>
        <v>CORRECTO</v>
      </c>
      <c r="B17" s="147" t="s">
        <v>411</v>
      </c>
      <c r="C17" s="147" t="s">
        <v>772</v>
      </c>
      <c r="D17" s="191" t="str">
        <f>VLOOKUP(C17,'BD  Materiales y equipos'!$B$3:$F$190,2,FALSE())</f>
        <v>Unidad</v>
      </c>
      <c r="E17" s="191">
        <f>VLOOKUP(C17,'BD  Materiales y equipos'!$B$3:$F$190,3,FALSE())</f>
        <v>0</v>
      </c>
      <c r="F17" s="191" t="str">
        <f>VLOOKUP(C17,'BD  Materiales y equipos'!$B$3:$F$190,4,FALSE())</f>
        <v>300#</v>
      </c>
      <c r="G17" s="133">
        <v>15</v>
      </c>
      <c r="H17" s="194">
        <f>VLOOKUP(C17,'BD  Materiales y equipos'!$B$3:$I$190,8,FALSE())*G17</f>
        <v>189.80086940311489</v>
      </c>
      <c r="I17" s="194">
        <f t="shared" si="2"/>
        <v>3502.1434807633905</v>
      </c>
      <c r="J17" s="194">
        <f t="shared" si="3"/>
        <v>1539.0645064165203</v>
      </c>
      <c r="K17" s="191" t="str">
        <f>VLOOKUP(C17,'BD  Materiales y equipos'!$B$3:$L$190,11,FALSE())</f>
        <v>IMPORTADO</v>
      </c>
      <c r="L17" s="436">
        <f t="shared" si="0"/>
        <v>1</v>
      </c>
      <c r="M17" s="421">
        <f t="shared" si="4"/>
        <v>1</v>
      </c>
      <c r="N17" s="594">
        <f>VLOOKUP(C17,'BD  Materiales y equipos'!$B$3:$K$190,9,FALSE())*0.811905633063426</f>
        <v>18.451672491158334</v>
      </c>
      <c r="O17" s="594">
        <f>VLOOKUP(C17,'BD  Materiales y equipos'!$B$3:$K$190,10,FALSE())*1.14265904837007</f>
        <v>8.1088380219572489</v>
      </c>
    </row>
    <row r="18" spans="1:15" ht="13.5" thickBot="1">
      <c r="A18" s="584" t="str">
        <f>IF(VLOOKUP(C18,'BD  Materiales y equipos'!$B$3:$F$190,1,FALSE())=C18,"CORRECTO","NO LISTADO")</f>
        <v>CORRECTO</v>
      </c>
      <c r="B18" s="147" t="s">
        <v>411</v>
      </c>
      <c r="C18" s="147" t="s">
        <v>774</v>
      </c>
      <c r="D18" s="191" t="str">
        <f>VLOOKUP(C18,'BD  Materiales y equipos'!$B$3:$F$190,2,FALSE())</f>
        <v>Unidad</v>
      </c>
      <c r="E18" s="191">
        <f>VLOOKUP(C18,'BD  Materiales y equipos'!$B$3:$F$190,3,FALSE())</f>
        <v>0</v>
      </c>
      <c r="F18" s="191" t="str">
        <f>VLOOKUP(C18,'BD  Materiales y equipos'!$B$3:$F$190,4,FALSE())</f>
        <v>300#</v>
      </c>
      <c r="G18" s="133">
        <v>12</v>
      </c>
      <c r="H18" s="194">
        <f>VLOOKUP(C18,'BD  Materiales y equipos'!$B$3:$I$190,8,FALSE())*G18</f>
        <v>33.921857510343941</v>
      </c>
      <c r="I18" s="194">
        <f t="shared" si="2"/>
        <v>745.96740395207701</v>
      </c>
      <c r="J18" s="194">
        <f t="shared" si="3"/>
        <v>325.3147177436046</v>
      </c>
      <c r="K18" s="191" t="str">
        <f>VLOOKUP(C18,'BD  Materiales y equipos'!$B$3:$L$190,11,FALSE())</f>
        <v>IMPORTADO</v>
      </c>
      <c r="L18" s="436">
        <f t="shared" si="0"/>
        <v>1</v>
      </c>
      <c r="M18" s="421">
        <f t="shared" si="4"/>
        <v>1</v>
      </c>
      <c r="N18" s="594">
        <f>VLOOKUP(C18,'BD  Materiales y equipos'!$B$3:$K$190,9,FALSE())*0.811905633063426</f>
        <v>21.990759312770709</v>
      </c>
      <c r="O18" s="594">
        <f>VLOOKUP(C18,'BD  Materiales y equipos'!$B$3:$K$190,10,FALSE())*1.14265904837007</f>
        <v>9.5901209904087636</v>
      </c>
    </row>
    <row r="19" spans="1:15" ht="13.5" thickBot="1">
      <c r="A19" s="584" t="str">
        <f>IF(VLOOKUP(C19,'BD  Materiales y equipos'!$B$3:$F$190,1,FALSE())=C19,"CORRECTO","NO LISTADO")</f>
        <v>CORRECTO</v>
      </c>
      <c r="B19" s="147" t="s">
        <v>411</v>
      </c>
      <c r="C19" s="147" t="s">
        <v>775</v>
      </c>
      <c r="D19" s="191" t="str">
        <f>VLOOKUP(C19,'BD  Materiales y equipos'!$B$3:$F$190,2,FALSE())</f>
        <v>Unidad</v>
      </c>
      <c r="E19" s="191">
        <f>VLOOKUP(C19,'BD  Materiales y equipos'!$B$3:$F$190,3,FALSE())</f>
        <v>0</v>
      </c>
      <c r="F19" s="191" t="str">
        <f>VLOOKUP(C19,'BD  Materiales y equipos'!$B$3:$F$190,4,FALSE())</f>
        <v>300#</v>
      </c>
      <c r="G19" s="133">
        <v>16</v>
      </c>
      <c r="H19" s="194">
        <f>VLOOKUP(C19,'BD  Materiales y equipos'!$B$3:$I$190,8,FALSE())*G19</f>
        <v>18.307034211931651</v>
      </c>
      <c r="I19" s="194">
        <f t="shared" si="2"/>
        <v>462.61544431136559</v>
      </c>
      <c r="J19" s="194">
        <f t="shared" si="3"/>
        <v>208.50997534787138</v>
      </c>
      <c r="K19" s="191" t="str">
        <f>VLOOKUP(C19,'BD  Materiales y equipos'!$B$3:$L$190,11,FALSE())</f>
        <v>IMPORTADO</v>
      </c>
      <c r="L19" s="436">
        <f t="shared" si="0"/>
        <v>1</v>
      </c>
      <c r="M19" s="421">
        <f t="shared" si="4"/>
        <v>1</v>
      </c>
      <c r="N19" s="594">
        <f>VLOOKUP(C19,'BD  Materiales y equipos'!$B$3:$K$190,9,FALSE())*0.811905633063426</f>
        <v>25.269819182937614</v>
      </c>
      <c r="O19" s="594">
        <f>VLOOKUP(C19,'BD  Materiales y equipos'!$B$3:$K$190,10,FALSE())*1.14265904837007</f>
        <v>11.38960974967614</v>
      </c>
    </row>
    <row r="20" spans="1:15" ht="13.5" thickBot="1">
      <c r="A20" s="584" t="str">
        <f>IF(VLOOKUP(C20,'BD  Materiales y equipos'!$B$3:$F$190,1,FALSE())=C20,"CORRECTO","NO LISTADO")</f>
        <v>CORRECTO</v>
      </c>
      <c r="B20" s="147" t="s">
        <v>411</v>
      </c>
      <c r="C20" s="147" t="s">
        <v>806</v>
      </c>
      <c r="D20" s="191" t="str">
        <f>VLOOKUP(C20,'BD  Materiales y equipos'!$B$3:$F$190,2,FALSE())</f>
        <v>Unidad</v>
      </c>
      <c r="E20" s="191">
        <f>VLOOKUP(C20,'BD  Materiales y equipos'!$B$3:$F$190,3,FALSE())</f>
        <v>0</v>
      </c>
      <c r="F20" s="191" t="str">
        <f>VLOOKUP(C20,'BD  Materiales y equipos'!$B$3:$F$190,4,FALSE())</f>
        <v>900#</v>
      </c>
      <c r="G20" s="133">
        <v>6</v>
      </c>
      <c r="H20" s="194">
        <f>VLOOKUP(C20,'BD  Materiales y equipos'!$B$3:$I$190,8,FALSE())*G20</f>
        <v>300.45073794876066</v>
      </c>
      <c r="I20" s="194">
        <f t="shared" si="2"/>
        <v>2716.4200620658007</v>
      </c>
      <c r="J20" s="194">
        <f t="shared" si="3"/>
        <v>1902.5435151948361</v>
      </c>
      <c r="K20" s="191" t="str">
        <f>VLOOKUP(C20,'BD  Materiales y equipos'!$B$3:$L$190,11,FALSE())</f>
        <v>IMPORTADO</v>
      </c>
      <c r="L20" s="436">
        <f t="shared" si="0"/>
        <v>1</v>
      </c>
      <c r="M20" s="421">
        <f t="shared" si="4"/>
        <v>1</v>
      </c>
      <c r="N20" s="594">
        <f>VLOOKUP(C20,'BD  Materiales y equipos'!$B$3:$K$190,9,FALSE())*0.811905633063426</f>
        <v>9.0411495761713301</v>
      </c>
      <c r="O20" s="594">
        <f>VLOOKUP(C20,'BD  Materiales y equipos'!$B$3:$K$190,10,FALSE())*1.14265904837007</f>
        <v>6.3322976944037288</v>
      </c>
    </row>
    <row r="21" spans="1:15" ht="13.5" thickBot="1">
      <c r="A21" s="584" t="str">
        <f>IF(VLOOKUP(C21,'BD  Materiales y equipos'!$B$3:$F$190,1,FALSE())=C21,"CORRECTO","NO LISTADO")</f>
        <v>CORRECTO</v>
      </c>
      <c r="B21" s="147" t="s">
        <v>411</v>
      </c>
      <c r="C21" s="147" t="s">
        <v>808</v>
      </c>
      <c r="D21" s="191" t="str">
        <f>VLOOKUP(C21,'BD  Materiales y equipos'!$B$3:$F$190,2,FALSE())</f>
        <v>Unidad</v>
      </c>
      <c r="E21" s="191">
        <f>VLOOKUP(C21,'BD  Materiales y equipos'!$B$3:$F$190,3,FALSE())</f>
        <v>0</v>
      </c>
      <c r="F21" s="191" t="str">
        <f>VLOOKUP(C21,'BD  Materiales y equipos'!$B$3:$F$190,4,FALSE())</f>
        <v>900#</v>
      </c>
      <c r="G21" s="133">
        <v>15</v>
      </c>
      <c r="H21" s="194">
        <f>VLOOKUP(C21,'BD  Materiales y equipos'!$B$3:$I$190,8,FALSE())*G21</f>
        <v>377.5825806210903</v>
      </c>
      <c r="I21" s="194">
        <f t="shared" si="2"/>
        <v>2472.1012805388596</v>
      </c>
      <c r="J21" s="194">
        <f t="shared" si="3"/>
        <v>2390.96530471394</v>
      </c>
      <c r="K21" s="191" t="str">
        <f>VLOOKUP(C21,'BD  Materiales y equipos'!$B$3:$L$190,11,FALSE())</f>
        <v>IMPORTADO</v>
      </c>
      <c r="L21" s="436">
        <f t="shared" si="0"/>
        <v>1</v>
      </c>
      <c r="M21" s="421">
        <f t="shared" si="4"/>
        <v>1</v>
      </c>
      <c r="N21" s="594">
        <f>VLOOKUP(C21,'BD  Materiales y equipos'!$B$3:$K$190,9,FALSE())*0.811905633063426</f>
        <v>6.5471804246701986</v>
      </c>
      <c r="O21" s="594">
        <f>VLOOKUP(C21,'BD  Materiales y equipos'!$B$3:$K$190,10,FALSE())*1.14265904837007</f>
        <v>6.3322976944037288</v>
      </c>
    </row>
    <row r="22" spans="1:15" ht="13.5" thickBot="1">
      <c r="A22" s="584" t="str">
        <f>IF(VLOOKUP(C22,'BD  Materiales y equipos'!$B$3:$F$190,1,FALSE())=C22,"CORRECTO","NO LISTADO")</f>
        <v>CORRECTO</v>
      </c>
      <c r="B22" s="147" t="s">
        <v>411</v>
      </c>
      <c r="C22" s="147" t="s">
        <v>809</v>
      </c>
      <c r="D22" s="191" t="str">
        <f>VLOOKUP(C22,'BD  Materiales y equipos'!$B$3:$F$190,2,FALSE())</f>
        <v>Unidad</v>
      </c>
      <c r="E22" s="191">
        <f>VLOOKUP(C22,'BD  Materiales y equipos'!$B$3:$F$190,3,FALSE())</f>
        <v>0</v>
      </c>
      <c r="F22" s="191" t="str">
        <f>VLOOKUP(C22,'BD  Materiales y equipos'!$B$3:$F$190,4,FALSE())</f>
        <v>900#</v>
      </c>
      <c r="G22" s="133">
        <v>12</v>
      </c>
      <c r="H22" s="194">
        <f>VLOOKUP(C22,'BD  Materiales y equipos'!$B$3:$I$190,8,FALSE())*G22</f>
        <v>82.381653953692421</v>
      </c>
      <c r="I22" s="194">
        <f t="shared" si="2"/>
        <v>1642.2848273053462</v>
      </c>
      <c r="J22" s="194">
        <f t="shared" si="3"/>
        <v>949.99924865147227</v>
      </c>
      <c r="K22" s="191" t="str">
        <f>VLOOKUP(C22,'BD  Materiales y equipos'!$B$3:$L$190,11,FALSE())</f>
        <v>IMPORTADO</v>
      </c>
      <c r="L22" s="436">
        <f t="shared" si="0"/>
        <v>1</v>
      </c>
      <c r="M22" s="421">
        <f t="shared" si="4"/>
        <v>1</v>
      </c>
      <c r="N22" s="594">
        <f>VLOOKUP(C22,'BD  Materiales y equipos'!$B$3:$K$190,9,FALSE())*0.811905633063426</f>
        <v>19.935079577650765</v>
      </c>
      <c r="O22" s="594">
        <f>VLOOKUP(C22,'BD  Materiales y equipos'!$B$3:$K$190,10,FALSE())*1.14265904837007</f>
        <v>11.531684580956297</v>
      </c>
    </row>
    <row r="23" spans="1:15" ht="13.5" thickBot="1">
      <c r="A23" s="584" t="str">
        <f>IF(VLOOKUP(C23,'BD  Materiales y equipos'!$B$3:$F$190,1,FALSE())=C23,"CORRECTO","NO LISTADO")</f>
        <v>CORRECTO</v>
      </c>
      <c r="B23" s="147" t="s">
        <v>411</v>
      </c>
      <c r="C23" s="147" t="s">
        <v>810</v>
      </c>
      <c r="D23" s="191" t="str">
        <f>VLOOKUP(C23,'BD  Materiales y equipos'!$B$3:$F$190,2,FALSE())</f>
        <v>Unidad</v>
      </c>
      <c r="E23" s="191">
        <f>VLOOKUP(C23,'BD  Materiales y equipos'!$B$3:$F$190,3,FALSE())</f>
        <v>0</v>
      </c>
      <c r="F23" s="191" t="str">
        <f>VLOOKUP(C23,'BD  Materiales y equipos'!$B$3:$F$190,4,FALSE())</f>
        <v>900#</v>
      </c>
      <c r="G23" s="133">
        <v>16</v>
      </c>
      <c r="H23" s="194">
        <f>VLOOKUP(C23,'BD  Materiales y equipos'!$B$3:$I$190,8,FALSE())*G23</f>
        <v>32.30653096223233</v>
      </c>
      <c r="I23" s="194">
        <f t="shared" si="2"/>
        <v>948.3616608382988</v>
      </c>
      <c r="J23" s="194">
        <f t="shared" si="3"/>
        <v>448.18245951975985</v>
      </c>
      <c r="K23" s="191" t="str">
        <f>VLOOKUP(C23,'BD  Materiales y equipos'!$B$3:$L$190,11,FALSE())</f>
        <v>IMPORTADO</v>
      </c>
      <c r="L23" s="436">
        <f t="shared" si="0"/>
        <v>1</v>
      </c>
      <c r="M23" s="421">
        <f t="shared" si="4"/>
        <v>1</v>
      </c>
      <c r="N23" s="594">
        <f>VLOOKUP(C23,'BD  Materiales y equipos'!$B$3:$K$190,9,FALSE())*0.811905633063426</f>
        <v>29.355106617512501</v>
      </c>
      <c r="O23" s="594">
        <f>VLOOKUP(C23,'BD  Materiales y equipos'!$B$3:$K$190,10,FALSE())*1.14265904837007</f>
        <v>13.872812901010748</v>
      </c>
    </row>
    <row r="24" spans="1:15" ht="13.5" thickBot="1">
      <c r="A24" s="584" t="str">
        <f>IF(VLOOKUP(C24,'BD  Materiales y equipos'!$B$3:$F$190,1,FALSE())=C24,"CORRECTO","NO LISTADO")</f>
        <v>CORRECTO</v>
      </c>
      <c r="B24" s="147" t="s">
        <v>411</v>
      </c>
      <c r="C24" s="147" t="s">
        <v>754</v>
      </c>
      <c r="D24" s="191" t="str">
        <f>VLOOKUP(C24,'BD  Materiales y equipos'!$B$3:$F$190,2,FALSE())</f>
        <v>Unidad</v>
      </c>
      <c r="E24" s="191">
        <f>VLOOKUP(C24,'BD  Materiales y equipos'!$B$3:$F$190,3,FALSE())</f>
        <v>0</v>
      </c>
      <c r="F24" s="191" t="str">
        <f>VLOOKUP(C24,'BD  Materiales y equipos'!$B$3:$F$190,4,FALSE())</f>
        <v>300#</v>
      </c>
      <c r="G24" s="133">
        <v>2</v>
      </c>
      <c r="H24" s="194">
        <f>VLOOKUP(C24,'BD  Materiales y equipos'!$B$3:$I$190,8,FALSE())*G24</f>
        <v>47.921354260644613</v>
      </c>
      <c r="I24" s="194">
        <f t="shared" si="2"/>
        <v>642.84271115767012</v>
      </c>
      <c r="J24" s="194">
        <f t="shared" si="3"/>
        <v>718.80492458206834</v>
      </c>
      <c r="K24" s="191" t="str">
        <f>VLOOKUP(C24,'BD  Materiales y equipos'!$B$3:$L$190,11,FALSE())</f>
        <v>IMPORTADO</v>
      </c>
      <c r="L24" s="436">
        <f t="shared" si="0"/>
        <v>1</v>
      </c>
      <c r="M24" s="421">
        <f t="shared" si="4"/>
        <v>1</v>
      </c>
      <c r="N24" s="594">
        <f>VLOOKUP(C24,'BD  Materiales y equipos'!$B$3:$K$190,9,FALSE())*0.811905633063426</f>
        <v>13.414535567197113</v>
      </c>
      <c r="O24" s="594">
        <f>VLOOKUP(C24,'BD  Materiales y equipos'!$B$3:$K$190,10,FALSE())*1.14265904837007</f>
        <v>14.999678862840204</v>
      </c>
    </row>
    <row r="25" spans="1:15" ht="13.5" thickBot="1">
      <c r="A25" s="584" t="str">
        <f>IF(VLOOKUP(C25,'BD  Materiales y equipos'!$B$3:$F$190,1,FALSE())=C25,"CORRECTO","NO LISTADO")</f>
        <v>CORRECTO</v>
      </c>
      <c r="B25" s="147" t="s">
        <v>411</v>
      </c>
      <c r="C25" s="147" t="s">
        <v>811</v>
      </c>
      <c r="D25" s="191" t="str">
        <f>VLOOKUP(C25,'BD  Materiales y equipos'!$B$3:$F$190,2,FALSE())</f>
        <v>Unidad</v>
      </c>
      <c r="E25" s="191">
        <f>VLOOKUP(C25,'BD  Materiales y equipos'!$B$3:$F$190,3,FALSE())</f>
        <v>0</v>
      </c>
      <c r="F25" s="191" t="str">
        <f>VLOOKUP(C25,'BD  Materiales y equipos'!$B$3:$F$190,4,FALSE())</f>
        <v>900#</v>
      </c>
      <c r="G25" s="133">
        <v>2</v>
      </c>
      <c r="H25" s="194">
        <f>VLOOKUP(C25,'BD  Materiales y equipos'!$B$3:$I$190,8,FALSE())*G25</f>
        <v>106.07310999266281</v>
      </c>
      <c r="I25" s="194">
        <f t="shared" si="2"/>
        <v>1005.2248092015677</v>
      </c>
      <c r="J25" s="194">
        <f t="shared" si="3"/>
        <v>875.08442222996518</v>
      </c>
      <c r="K25" s="191" t="str">
        <f>VLOOKUP(C25,'BD  Materiales y equipos'!$B$3:$L$190,11,FALSE())</f>
        <v>IMPORTADO</v>
      </c>
      <c r="L25" s="436">
        <f t="shared" si="0"/>
        <v>1</v>
      </c>
      <c r="M25" s="421">
        <f t="shared" si="4"/>
        <v>1</v>
      </c>
      <c r="N25" s="594">
        <f>VLOOKUP(C25,'BD  Materiales y equipos'!$B$3:$K$190,9,FALSE())*0.811905633063426</f>
        <v>9.4767166652424937</v>
      </c>
      <c r="O25" s="594">
        <f>VLOOKUP(C25,'BD  Materiales y equipos'!$B$3:$K$190,10,FALSE())*1.14265904837007</f>
        <v>8.249823374562089</v>
      </c>
    </row>
    <row r="26" spans="1:15" ht="13.5" thickBot="1">
      <c r="A26" s="584" t="str">
        <f>IF(VLOOKUP(C26,'BD  Materiales y equipos'!$B$3:$F$190,1,FALSE())=C26,"CORRECTO","NO LISTADO")</f>
        <v>CORRECTO</v>
      </c>
      <c r="B26" s="147" t="s">
        <v>411</v>
      </c>
      <c r="C26" s="147" t="s">
        <v>812</v>
      </c>
      <c r="D26" s="191" t="str">
        <f>VLOOKUP(C26,'BD  Materiales y equipos'!$B$3:$F$190,2,FALSE())</f>
        <v>Unidad</v>
      </c>
      <c r="E26" s="191" t="str">
        <f>VLOOKUP(C26,'BD  Materiales y equipos'!$B$3:$F$190,3,FALSE())</f>
        <v>STD</v>
      </c>
      <c r="F26" s="191">
        <f>VLOOKUP(C26,'BD  Materiales y equipos'!$B$3:$F$190,4,FALSE())</f>
        <v>0</v>
      </c>
      <c r="G26" s="133">
        <v>1</v>
      </c>
      <c r="H26" s="194">
        <f>VLOOKUP(C26,'BD  Materiales y equipos'!$B$3:$I$190,8,FALSE())*G26</f>
        <v>17.230149846523908</v>
      </c>
      <c r="I26" s="194">
        <f t="shared" si="2"/>
        <v>543.09125597803029</v>
      </c>
      <c r="J26" s="194">
        <f t="shared" si="3"/>
        <v>199.53483637097983</v>
      </c>
      <c r="K26" s="191" t="str">
        <f>VLOOKUP(C26,'BD  Materiales y equipos'!$B$3:$L$190,11,FALSE())</f>
        <v>IMPORTADO</v>
      </c>
      <c r="L26" s="436">
        <f t="shared" si="0"/>
        <v>1</v>
      </c>
      <c r="M26" s="421">
        <f t="shared" si="4"/>
        <v>1</v>
      </c>
      <c r="N26" s="594">
        <f>VLOOKUP(C26,'BD  Materiales y equipos'!$B$3:$K$190,9,FALSE())*0.811905633063426</f>
        <v>31.519821987363397</v>
      </c>
      <c r="O26" s="594">
        <f>VLOOKUP(C26,'BD  Materiales y equipos'!$B$3:$K$190,10,FALSE())*1.14265904837007</f>
        <v>11.580563033306117</v>
      </c>
    </row>
    <row r="27" spans="1:15" ht="13.5" thickBot="1">
      <c r="A27" s="584" t="str">
        <f>IF(VLOOKUP(C27,'BD  Materiales y equipos'!$B$3:$F$190,1,FALSE())=C27,"CORRECTO","NO LISTADO")</f>
        <v>CORRECTO</v>
      </c>
      <c r="B27" s="147" t="s">
        <v>411</v>
      </c>
      <c r="C27" s="147" t="s">
        <v>813</v>
      </c>
      <c r="D27" s="191" t="str">
        <f>VLOOKUP(C27,'BD  Materiales y equipos'!$B$3:$F$190,2,FALSE())</f>
        <v>Unidad</v>
      </c>
      <c r="E27" s="191" t="str">
        <f>VLOOKUP(C27,'BD  Materiales y equipos'!$B$3:$F$190,3,FALSE())</f>
        <v>XS</v>
      </c>
      <c r="F27" s="191">
        <f>VLOOKUP(C27,'BD  Materiales y equipos'!$B$3:$F$190,4,FALSE())</f>
        <v>0</v>
      </c>
      <c r="G27" s="133">
        <v>1</v>
      </c>
      <c r="H27" s="194">
        <f>VLOOKUP(C27,'BD  Materiales y equipos'!$B$3:$I$190,8,FALSE())*G27</f>
        <v>21.133855671126977</v>
      </c>
      <c r="I27" s="194">
        <f t="shared" si="2"/>
        <v>299.97720217065023</v>
      </c>
      <c r="J27" s="194">
        <f t="shared" si="3"/>
        <v>244.74194773627991</v>
      </c>
      <c r="K27" s="191" t="str">
        <f>VLOOKUP(C27,'BD  Materiales y equipos'!$B$3:$L$190,11,FALSE())</f>
        <v>IMPORTADO</v>
      </c>
      <c r="L27" s="436">
        <f t="shared" si="0"/>
        <v>1</v>
      </c>
      <c r="M27" s="421">
        <f t="shared" si="4"/>
        <v>1</v>
      </c>
      <c r="N27" s="594">
        <f>VLOOKUP(C27,'BD  Materiales y equipos'!$B$3:$K$190,9,FALSE())*0.811905633063426</f>
        <v>14.194154007613404</v>
      </c>
      <c r="O27" s="594">
        <f>VLOOKUP(C27,'BD  Materiales y equipos'!$B$3:$K$190,10,FALSE())*1.14265904837007</f>
        <v>11.580563033306117</v>
      </c>
    </row>
    <row r="28" spans="1:15" ht="13.5" thickBot="1">
      <c r="A28" s="584" t="str">
        <f>IF(VLOOKUP(C28,'BD  Materiales y equipos'!$B$3:$F$190,1,FALSE())=C28,"CORRECTO","NO LISTADO")</f>
        <v>CORRECTO</v>
      </c>
      <c r="B28" s="147" t="s">
        <v>411</v>
      </c>
      <c r="C28" s="147" t="s">
        <v>814</v>
      </c>
      <c r="D28" s="191" t="str">
        <f>VLOOKUP(C28,'BD  Materiales y equipos'!$B$3:$F$190,2,FALSE())</f>
        <v>Unidad</v>
      </c>
      <c r="E28" s="191" t="str">
        <f>VLOOKUP(C28,'BD  Materiales y equipos'!$B$3:$F$190,3,FALSE())</f>
        <v>STD</v>
      </c>
      <c r="F28" s="191">
        <f>VLOOKUP(C28,'BD  Materiales y equipos'!$B$3:$F$190,4,FALSE())</f>
        <v>0</v>
      </c>
      <c r="G28" s="133">
        <v>3</v>
      </c>
      <c r="H28" s="194">
        <f>VLOOKUP(C28,'BD  Materiales y equipos'!$B$3:$I$190,8,FALSE())*G28</f>
        <v>56.940260820934469</v>
      </c>
      <c r="I28" s="194">
        <f t="shared" si="2"/>
        <v>916.55684904189138</v>
      </c>
      <c r="J28" s="194">
        <f t="shared" si="3"/>
        <v>659.40027956972233</v>
      </c>
      <c r="K28" s="191" t="str">
        <f>VLOOKUP(C28,'BD  Materiales y equipos'!$B$3:$L$190,11,FALSE())</f>
        <v>IMPORTADO</v>
      </c>
      <c r="L28" s="436">
        <f t="shared" si="0"/>
        <v>1</v>
      </c>
      <c r="M28" s="421">
        <f t="shared" si="4"/>
        <v>1</v>
      </c>
      <c r="N28" s="594">
        <f>VLOOKUP(C28,'BD  Materiales y equipos'!$B$3:$K$190,9,FALSE())*0.811905633063426</f>
        <v>16.096815080005975</v>
      </c>
      <c r="O28" s="594">
        <f>VLOOKUP(C28,'BD  Materiales y equipos'!$B$3:$K$190,10,FALSE())*1.14265904837007</f>
        <v>11.580563033306117</v>
      </c>
    </row>
    <row r="29" spans="1:15" ht="13.5" thickBot="1">
      <c r="A29" s="584" t="str">
        <f>IF(VLOOKUP(C29,'BD  Materiales y equipos'!$B$3:$F$190,1,FALSE())=C29,"CORRECTO","NO LISTADO")</f>
        <v>CORRECTO</v>
      </c>
      <c r="B29" s="147" t="s">
        <v>411</v>
      </c>
      <c r="C29" s="147" t="s">
        <v>815</v>
      </c>
      <c r="D29" s="191" t="str">
        <f>VLOOKUP(C29,'BD  Materiales y equipos'!$B$3:$F$190,2,FALSE())</f>
        <v>Unidad</v>
      </c>
      <c r="E29" s="191" t="str">
        <f>VLOOKUP(C29,'BD  Materiales y equipos'!$B$3:$F$190,3,FALSE())</f>
        <v>XS</v>
      </c>
      <c r="F29" s="191">
        <f>VLOOKUP(C29,'BD  Materiales y equipos'!$B$3:$F$190,4,FALSE())</f>
        <v>0</v>
      </c>
      <c r="G29" s="133">
        <v>3</v>
      </c>
      <c r="H29" s="194">
        <f>VLOOKUP(C29,'BD  Materiales y equipos'!$B$3:$I$190,8,FALSE())*G29</f>
        <v>66.632220109604162</v>
      </c>
      <c r="I29" s="194">
        <f t="shared" si="2"/>
        <v>756.80995342812264</v>
      </c>
      <c r="J29" s="194">
        <f t="shared" si="3"/>
        <v>771.63862502839845</v>
      </c>
      <c r="K29" s="191" t="str">
        <f>VLOOKUP(C29,'BD  Materiales y equipos'!$B$3:$L$190,11,FALSE())</f>
        <v>IMPORTADO</v>
      </c>
      <c r="L29" s="436">
        <f t="shared" si="0"/>
        <v>1</v>
      </c>
      <c r="M29" s="421">
        <f t="shared" si="4"/>
        <v>1</v>
      </c>
      <c r="N29" s="594">
        <f>VLOOKUP(C29,'BD  Materiales y equipos'!$B$3:$K$190,9,FALSE())*0.811905633063426</f>
        <v>11.358017970633975</v>
      </c>
      <c r="O29" s="594">
        <f>VLOOKUP(C29,'BD  Materiales y equipos'!$B$3:$K$190,10,FALSE())*1.14265904837007</f>
        <v>11.580563033306117</v>
      </c>
    </row>
    <row r="30" spans="1:15" ht="13.5" thickBot="1">
      <c r="A30" s="584" t="str">
        <f>IF(VLOOKUP(C30,'BD  Materiales y equipos'!$B$3:$F$190,1,FALSE())=C30,"CORRECTO","NO LISTADO")</f>
        <v>CORRECTO</v>
      </c>
      <c r="B30" s="147" t="s">
        <v>411</v>
      </c>
      <c r="C30" s="147" t="s">
        <v>816</v>
      </c>
      <c r="D30" s="191" t="str">
        <f>VLOOKUP(C30,'BD  Materiales y equipos'!$B$3:$F$190,2,FALSE())</f>
        <v>Junta</v>
      </c>
      <c r="E30" s="191">
        <f>VLOOKUP(C30,'BD  Materiales y equipos'!$B$3:$F$190,3,FALSE())</f>
        <v>0</v>
      </c>
      <c r="F30" s="191" t="str">
        <f>VLOOKUP(C30,'BD  Materiales y equipos'!$B$3:$F$190,4,FALSE())</f>
        <v>900#</v>
      </c>
      <c r="G30" s="133">
        <v>5</v>
      </c>
      <c r="H30" s="194">
        <f>VLOOKUP(C30,'BD  Materiales y equipos'!$B$3:$I$190,8,FALSE())*G30</f>
        <v>100.95790925697601</v>
      </c>
      <c r="I30" s="194">
        <f t="shared" si="2"/>
        <v>11.802002226833119</v>
      </c>
      <c r="J30" s="194">
        <f t="shared" si="3"/>
        <v>0</v>
      </c>
      <c r="K30" s="191" t="str">
        <f>VLOOKUP(C30,'BD  Materiales y equipos'!$B$3:$L$190,11,FALSE())</f>
        <v>IMPORTADO</v>
      </c>
      <c r="L30" s="436">
        <f t="shared" si="0"/>
        <v>1</v>
      </c>
      <c r="M30" s="421">
        <f t="shared" si="4"/>
        <v>1</v>
      </c>
      <c r="N30" s="594">
        <f>VLOOKUP(C30,'BD  Materiales y equipos'!$B$3:$K$190,9,FALSE())*0.811905633063426</f>
        <v>0.11690022419930039</v>
      </c>
      <c r="O30" s="594">
        <f>VLOOKUP(C30,'BD  Materiales y equipos'!$B$3:$K$190,10,FALSE())*1.14265904837007</f>
        <v>0</v>
      </c>
    </row>
    <row r="31" spans="1:15" ht="13.5" thickBot="1">
      <c r="A31" s="584" t="str">
        <f>IF(VLOOKUP(C31,'BD  Materiales y equipos'!$B$3:$F$190,1,FALSE())=C31,"CORRECTO","NO LISTADO")</f>
        <v>CORRECTO</v>
      </c>
      <c r="B31" s="147" t="s">
        <v>411</v>
      </c>
      <c r="C31" s="147" t="s">
        <v>817</v>
      </c>
      <c r="D31" s="191" t="str">
        <f>VLOOKUP(C31,'BD  Materiales y equipos'!$B$3:$F$190,2,FALSE())</f>
        <v>Junta</v>
      </c>
      <c r="E31" s="191">
        <f>VLOOKUP(C31,'BD  Materiales y equipos'!$B$3:$F$190,3,FALSE())</f>
        <v>0</v>
      </c>
      <c r="F31" s="191" t="str">
        <f>VLOOKUP(C31,'BD  Materiales y equipos'!$B$3:$F$190,4,FALSE())</f>
        <v>300#</v>
      </c>
      <c r="G31" s="133">
        <v>12</v>
      </c>
      <c r="H31" s="194">
        <f>VLOOKUP(C31,'BD  Materiales y equipos'!$B$3:$I$190,8,FALSE())*G31</f>
        <v>61.382408828241424</v>
      </c>
      <c r="I31" s="194">
        <f t="shared" si="2"/>
        <v>10.028873501237728</v>
      </c>
      <c r="J31" s="194">
        <f t="shared" si="3"/>
        <v>0</v>
      </c>
      <c r="K31" s="191" t="str">
        <f>VLOOKUP(C31,'BD  Materiales y equipos'!$B$3:$L$190,11,FALSE())</f>
        <v>IMPORTADO</v>
      </c>
      <c r="L31" s="436">
        <f t="shared" si="0"/>
        <v>1</v>
      </c>
      <c r="M31" s="421">
        <f t="shared" si="4"/>
        <v>1</v>
      </c>
      <c r="N31" s="594">
        <f>VLOOKUP(C31,'BD  Materiales y equipos'!$B$3:$K$190,9,FALSE())*0.811905633063426</f>
        <v>0.16338351154155983</v>
      </c>
      <c r="O31" s="594">
        <f>VLOOKUP(C31,'BD  Materiales y equipos'!$B$3:$K$190,10,FALSE())*1.14265904837007</f>
        <v>0</v>
      </c>
    </row>
    <row r="32" spans="1:15" ht="13.5" thickBot="1">
      <c r="A32" s="584" t="str">
        <f>IF(VLOOKUP(C32,'BD  Materiales y equipos'!$B$3:$F$190,1,FALSE())=C32,"CORRECTO","NO LISTADO")</f>
        <v>CORRECTO</v>
      </c>
      <c r="B32" s="147" t="s">
        <v>411</v>
      </c>
      <c r="C32" s="147" t="s">
        <v>818</v>
      </c>
      <c r="D32" s="191" t="str">
        <f>VLOOKUP(C32,'BD  Materiales y equipos'!$B$3:$F$190,2,FALSE())</f>
        <v>Junta</v>
      </c>
      <c r="E32" s="191">
        <f>VLOOKUP(C32,'BD  Materiales y equipos'!$B$3:$F$190,3,FALSE())</f>
        <v>0</v>
      </c>
      <c r="F32" s="191" t="str">
        <f>VLOOKUP(C32,'BD  Materiales y equipos'!$B$3:$F$190,4,FALSE())</f>
        <v>900#</v>
      </c>
      <c r="G32" s="133">
        <v>12</v>
      </c>
      <c r="H32" s="194">
        <f>VLOOKUP(C32,'BD  Materiales y equipos'!$B$3:$I$190,8,FALSE())*G32</f>
        <v>129.22612384892929</v>
      </c>
      <c r="I32" s="194">
        <f t="shared" si="2"/>
        <v>26.04164726780769</v>
      </c>
      <c r="J32" s="194">
        <f t="shared" si="3"/>
        <v>0</v>
      </c>
      <c r="K32" s="191" t="str">
        <f>VLOOKUP(C32,'BD  Materiales y equipos'!$B$3:$L$190,11,FALSE())</f>
        <v>IMPORTADO</v>
      </c>
      <c r="L32" s="436">
        <f t="shared" si="0"/>
        <v>1</v>
      </c>
      <c r="M32" s="421">
        <f t="shared" si="4"/>
        <v>1</v>
      </c>
      <c r="N32" s="594">
        <f>VLOOKUP(C32,'BD  Materiales y equipos'!$B$3:$K$190,9,FALSE())*0.811905633063426</f>
        <v>0.20151999063479964</v>
      </c>
      <c r="O32" s="594">
        <f>VLOOKUP(C32,'BD  Materiales y equipos'!$B$3:$K$190,10,FALSE())*1.14265904837007</f>
        <v>0</v>
      </c>
    </row>
    <row r="33" spans="1:15" ht="13.5" thickBot="1">
      <c r="A33" s="584" t="str">
        <f>IF(VLOOKUP(C33,'BD  Materiales y equipos'!$B$3:$F$190,1,FALSE())=C33,"CORRECTO","NO LISTADO")</f>
        <v>CORRECTO</v>
      </c>
      <c r="B33" s="147" t="s">
        <v>411</v>
      </c>
      <c r="C33" s="147" t="s">
        <v>819</v>
      </c>
      <c r="D33" s="191" t="str">
        <f>VLOOKUP(C33,'BD  Materiales y equipos'!$B$3:$F$190,2,FALSE())</f>
        <v>Junta</v>
      </c>
      <c r="E33" s="191">
        <f>VLOOKUP(C33,'BD  Materiales y equipos'!$B$3:$F$190,3,FALSE())</f>
        <v>0</v>
      </c>
      <c r="F33" s="191" t="str">
        <f>VLOOKUP(C33,'BD  Materiales y equipos'!$B$3:$F$190,4,FALSE())</f>
        <v>150#</v>
      </c>
      <c r="G33" s="133">
        <v>18</v>
      </c>
      <c r="H33" s="194">
        <f>VLOOKUP(C33,'BD  Materiales y equipos'!$B$3:$I$190,8,FALSE())*G33</f>
        <v>36.344847332511371</v>
      </c>
      <c r="I33" s="194">
        <f t="shared" si="2"/>
        <v>21.112448845904144</v>
      </c>
      <c r="J33" s="194">
        <f t="shared" si="3"/>
        <v>0</v>
      </c>
      <c r="K33" s="191" t="str">
        <f>VLOOKUP(C33,'BD  Materiales y equipos'!$B$3:$L$190,11,FALSE())</f>
        <v>IMPORTADO</v>
      </c>
      <c r="L33" s="436">
        <f t="shared" si="0"/>
        <v>1</v>
      </c>
      <c r="M33" s="421">
        <f t="shared" si="4"/>
        <v>1</v>
      </c>
      <c r="N33" s="594">
        <f>VLOOKUP(C33,'BD  Materiales y equipos'!$B$3:$K$190,9,FALSE())*0.811905633063426</f>
        <v>0.58089248945664251</v>
      </c>
      <c r="O33" s="594">
        <f>VLOOKUP(C33,'BD  Materiales y equipos'!$B$3:$K$190,10,FALSE())*1.14265904837007</f>
        <v>0</v>
      </c>
    </row>
    <row r="34" spans="1:15" ht="13.5" thickBot="1">
      <c r="A34" s="584" t="str">
        <f>IF(VLOOKUP(C34,'BD  Materiales y equipos'!$B$3:$F$190,1,FALSE())=C34,"CORRECTO","NO LISTADO")</f>
        <v>CORRECTO</v>
      </c>
      <c r="B34" s="147" t="s">
        <v>411</v>
      </c>
      <c r="C34" s="147" t="s">
        <v>820</v>
      </c>
      <c r="D34" s="191" t="str">
        <f>VLOOKUP(C34,'BD  Materiales y equipos'!$B$3:$F$190,2,FALSE())</f>
        <v>Junta</v>
      </c>
      <c r="E34" s="191">
        <f>VLOOKUP(C34,'BD  Materiales y equipos'!$B$3:$F$190,3,FALSE())</f>
        <v>0</v>
      </c>
      <c r="F34" s="191" t="str">
        <f>VLOOKUP(C34,'BD  Materiales y equipos'!$B$3:$F$190,4,FALSE())</f>
        <v>150#</v>
      </c>
      <c r="G34" s="133">
        <v>15</v>
      </c>
      <c r="H34" s="194">
        <f>VLOOKUP(C34,'BD  Materiales y equipos'!$B$3:$I$190,8,FALSE())*G34</f>
        <v>36.344847332511364</v>
      </c>
      <c r="I34" s="194">
        <f t="shared" si="2"/>
        <v>19.040858172228958</v>
      </c>
      <c r="J34" s="194">
        <f t="shared" si="3"/>
        <v>0</v>
      </c>
      <c r="K34" s="191" t="str">
        <f>VLOOKUP(C34,'BD  Materiales y equipos'!$B$3:$L$190,11,FALSE())</f>
        <v>IMPORTADO</v>
      </c>
      <c r="L34" s="436">
        <f t="shared" si="0"/>
        <v>1</v>
      </c>
      <c r="M34" s="421">
        <f t="shared" si="4"/>
        <v>1</v>
      </c>
      <c r="N34" s="594">
        <f>VLOOKUP(C34,'BD  Materiales y equipos'!$B$3:$K$190,9,FALSE())*0.811905633063426</f>
        <v>0.5238942950572375</v>
      </c>
      <c r="O34" s="594">
        <f>VLOOKUP(C34,'BD  Materiales y equipos'!$B$3:$K$190,10,FALSE())*1.14265904837007</f>
        <v>0</v>
      </c>
    </row>
    <row r="35" spans="1:15" ht="13.5" thickBot="1">
      <c r="A35" s="584" t="str">
        <f>IF(VLOOKUP(C35,'BD  Materiales y equipos'!$B$3:$F$190,1,FALSE())=C35,"CORRECTO","NO LISTADO")</f>
        <v>CORRECTO</v>
      </c>
      <c r="B35" s="147" t="s">
        <v>411</v>
      </c>
      <c r="C35" s="147" t="s">
        <v>821</v>
      </c>
      <c r="D35" s="191" t="str">
        <f>VLOOKUP(C35,'BD  Materiales y equipos'!$B$3:$F$190,2,FALSE())</f>
        <v>Global</v>
      </c>
      <c r="E35" s="191">
        <f>VLOOKUP(C35,'BD  Materiales y equipos'!$B$3:$F$190,3,FALSE())</f>
        <v>0</v>
      </c>
      <c r="F35" s="191" t="str">
        <f>VLOOKUP(C35,'BD  Materiales y equipos'!$B$3:$F$190,4,FALSE())</f>
        <v>300#</v>
      </c>
      <c r="G35" s="133">
        <v>1</v>
      </c>
      <c r="H35" s="194">
        <f>VLOOKUP(C35,'BD  Materiales y equipos'!$B$3:$I$190,8,FALSE())*G35</f>
        <v>29.676545413664702</v>
      </c>
      <c r="I35" s="194">
        <f t="shared" si="2"/>
        <v>2.8913465269460343</v>
      </c>
      <c r="J35" s="194">
        <f t="shared" si="3"/>
        <v>0</v>
      </c>
      <c r="K35" s="191" t="str">
        <f>VLOOKUP(C35,'BD  Materiales y equipos'!$B$3:$L$190,11,FALSE())</f>
        <v>IMPORTADO</v>
      </c>
      <c r="L35" s="436">
        <f t="shared" si="0"/>
        <v>1</v>
      </c>
      <c r="M35" s="421">
        <f t="shared" si="4"/>
        <v>1</v>
      </c>
      <c r="N35" s="594">
        <f>VLOOKUP(C35,'BD  Materiales y equipos'!$B$3:$K$190,9,FALSE())*0.811905633063426</f>
        <v>9.7428675967611122E-2</v>
      </c>
      <c r="O35" s="594">
        <f>VLOOKUP(C35,'BD  Materiales y equipos'!$B$3:$K$190,10,FALSE())*1.14265904837007</f>
        <v>0</v>
      </c>
    </row>
    <row r="36" spans="1:15" ht="13.5" thickBot="1">
      <c r="A36" s="584" t="str">
        <f>IF(VLOOKUP(C36,'BD  Materiales y equipos'!$B$3:$F$190,1,FALSE())=C36,"CORRECTO","NO LISTADO")</f>
        <v>CORRECTO</v>
      </c>
      <c r="B36" s="147" t="s">
        <v>411</v>
      </c>
      <c r="C36" s="147" t="s">
        <v>822</v>
      </c>
      <c r="D36" s="191" t="str">
        <f>VLOOKUP(C36,'BD  Materiales y equipos'!$B$3:$F$190,2,FALSE())</f>
        <v>Global</v>
      </c>
      <c r="E36" s="191">
        <f>VLOOKUP(C36,'BD  Materiales y equipos'!$B$3:$F$190,3,FALSE())</f>
        <v>0</v>
      </c>
      <c r="F36" s="191" t="str">
        <f>VLOOKUP(C36,'BD  Materiales y equipos'!$B$3:$F$190,4,FALSE())</f>
        <v>900#</v>
      </c>
      <c r="G36" s="133">
        <v>1</v>
      </c>
      <c r="H36" s="194">
        <f>VLOOKUP(C36,'BD  Materiales y equipos'!$B$3:$I$190,8,FALSE())*G36</f>
        <v>29.676545413664702</v>
      </c>
      <c r="I36" s="194">
        <f t="shared" si="2"/>
        <v>3.6141831586825424</v>
      </c>
      <c r="J36" s="194">
        <f t="shared" si="3"/>
        <v>0</v>
      </c>
      <c r="K36" s="191" t="str">
        <f>VLOOKUP(C36,'BD  Materiales y equipos'!$B$3:$L$190,11,FALSE())</f>
        <v>IMPORTADO</v>
      </c>
      <c r="L36" s="436">
        <f t="shared" si="0"/>
        <v>1</v>
      </c>
      <c r="M36" s="421">
        <f t="shared" si="4"/>
        <v>1</v>
      </c>
      <c r="N36" s="594">
        <f>VLOOKUP(C36,'BD  Materiales y equipos'!$B$3:$K$190,9,FALSE())*0.811905633063426</f>
        <v>0.12178584495951389</v>
      </c>
      <c r="O36" s="594">
        <f>VLOOKUP(C36,'BD  Materiales y equipos'!$B$3:$K$190,10,FALSE())*1.14265904837007</f>
        <v>0</v>
      </c>
    </row>
    <row r="37" spans="1:15" ht="13.5" thickBot="1">
      <c r="A37" s="584" t="str">
        <f>IF(VLOOKUP(C37,'BD  Materiales y equipos'!$B$3:$F$190,1,FALSE())=C37,"CORRECTO","NO LISTADO")</f>
        <v>CORRECTO</v>
      </c>
      <c r="B37" s="147" t="s">
        <v>411</v>
      </c>
      <c r="C37" s="147" t="s">
        <v>887</v>
      </c>
      <c r="D37" s="191" t="str">
        <f>VLOOKUP(C37,'BD  Materiales y equipos'!$B$3:$F$190,2,FALSE())</f>
        <v>Global</v>
      </c>
      <c r="E37" s="191">
        <f>VLOOKUP(C37,'BD  Materiales y equipos'!$B$3:$F$190,3,FALSE())</f>
        <v>0</v>
      </c>
      <c r="F37" s="191">
        <f>VLOOKUP(C37,'BD  Materiales y equipos'!$B$3:$F$190,4,FALSE())</f>
        <v>0</v>
      </c>
      <c r="G37" s="133">
        <v>1</v>
      </c>
      <c r="H37" s="194">
        <f>VLOOKUP(C37,'BD  Materiales y equipos'!$B$3:$I$190,8,FALSE())*G37</f>
        <v>605.69829189289658</v>
      </c>
      <c r="I37" s="194">
        <f t="shared" si="2"/>
        <v>6878.0097321590838</v>
      </c>
      <c r="J37" s="194">
        <f t="shared" si="3"/>
        <v>0</v>
      </c>
      <c r="K37" s="191" t="str">
        <f>VLOOKUP(C37,'BD  Materiales y equipos'!$B$3:$L$190,11,FALSE())</f>
        <v>NACIONAL</v>
      </c>
      <c r="L37" s="436">
        <f t="shared" si="0"/>
        <v>1</v>
      </c>
      <c r="M37" s="421">
        <f t="shared" si="4"/>
        <v>1</v>
      </c>
      <c r="N37" s="594">
        <f>VLOOKUP(C37,'BD  Materiales y equipos'!$B$3:$K$190,9,FALSE())*0.811905633063426</f>
        <v>11.355504587381761</v>
      </c>
      <c r="O37" s="594">
        <f>VLOOKUP(C37,'BD  Materiales y equipos'!$B$3:$K$190,10,FALSE())*1.14265904837007</f>
        <v>0</v>
      </c>
    </row>
    <row r="38" spans="1:15" ht="13.5" thickBot="1">
      <c r="A38" s="584" t="str">
        <f>IF(VLOOKUP(C38,'BD  Materiales y equipos'!$B$3:$F$190,1,FALSE())=C38,"CORRECTO","NO LISTADO")</f>
        <v>CORRECTO</v>
      </c>
      <c r="B38" s="147" t="s">
        <v>411</v>
      </c>
      <c r="C38" s="147" t="s">
        <v>823</v>
      </c>
      <c r="D38" s="191" t="str">
        <f>VLOOKUP(C38,'BD  Materiales y equipos'!$B$3:$F$190,2,FALSE())</f>
        <v>Unidad</v>
      </c>
      <c r="E38" s="191">
        <f>VLOOKUP(C38,'BD  Materiales y equipos'!$B$3:$F$190,3,FALSE())</f>
        <v>0</v>
      </c>
      <c r="F38" s="191" t="str">
        <f>VLOOKUP(C38,'BD  Materiales y equipos'!$B$3:$F$190,4,FALSE())</f>
        <v>900#</v>
      </c>
      <c r="G38" s="133">
        <v>1</v>
      </c>
      <c r="H38" s="194">
        <f>VLOOKUP(C38,'BD  Materiales y equipos'!$B$3:$I$190,8,FALSE())*G38</f>
        <v>394.40128854760388</v>
      </c>
      <c r="I38" s="194">
        <f t="shared" si="2"/>
        <v>6380.3470437838369</v>
      </c>
      <c r="J38" s="194">
        <f t="shared" si="3"/>
        <v>2193.4122870930923</v>
      </c>
      <c r="K38" s="191" t="str">
        <f>VLOOKUP(C38,'BD  Materiales y equipos'!$B$3:$L$190,11,FALSE())</f>
        <v>IMPORTADO</v>
      </c>
      <c r="L38" s="436">
        <f t="shared" si="0"/>
        <v>1</v>
      </c>
      <c r="M38" s="421">
        <f t="shared" si="4"/>
        <v>1</v>
      </c>
      <c r="N38" s="594">
        <f>VLOOKUP(C38,'BD  Materiales y equipos'!$B$3:$K$190,9,FALSE())*0.811905633063426</f>
        <v>16.177297663706124</v>
      </c>
      <c r="O38" s="594">
        <f>VLOOKUP(C38,'BD  Materiales y equipos'!$B$3:$K$190,10,FALSE())*1.14265904837007</f>
        <v>5.5613720106503894</v>
      </c>
    </row>
    <row r="39" spans="1:15" ht="13.5" thickBot="1">
      <c r="A39" s="584" t="str">
        <f>IF(VLOOKUP(C39,'BD  Materiales y equipos'!$B$3:$F$190,1,FALSE())=C39,"CORRECTO","NO LISTADO")</f>
        <v>CORRECTO</v>
      </c>
      <c r="B39" s="147" t="s">
        <v>411</v>
      </c>
      <c r="C39" s="147" t="s">
        <v>824</v>
      </c>
      <c r="D39" s="191" t="str">
        <f>VLOOKUP(C39,'BD  Materiales y equipos'!$B$3:$F$190,2,FALSE())</f>
        <v>Unidad</v>
      </c>
      <c r="E39" s="191">
        <f>VLOOKUP(C39,'BD  Materiales y equipos'!$B$3:$F$190,3,FALSE())</f>
        <v>0</v>
      </c>
      <c r="F39" s="191" t="str">
        <f>VLOOKUP(C39,'BD  Materiales y equipos'!$B$3:$F$190,4,FALSE())</f>
        <v>300#</v>
      </c>
      <c r="G39" s="133">
        <v>3</v>
      </c>
      <c r="H39" s="194">
        <f>VLOOKUP(C39,'BD  Materiales y equipos'!$B$3:$I$190,8,FALSE())*G39</f>
        <v>533.28752108355468</v>
      </c>
      <c r="I39" s="194">
        <f t="shared" si="2"/>
        <v>3600.164132903396</v>
      </c>
      <c r="J39" s="194">
        <f t="shared" si="3"/>
        <v>2965.8102933832106</v>
      </c>
      <c r="K39" s="191" t="str">
        <f>VLOOKUP(C39,'BD  Materiales y equipos'!$B$3:$L$190,11,FALSE())</f>
        <v>IMPORTADO</v>
      </c>
      <c r="L39" s="436">
        <f t="shared" si="0"/>
        <v>1</v>
      </c>
      <c r="M39" s="421">
        <f t="shared" si="4"/>
        <v>1</v>
      </c>
      <c r="N39" s="594">
        <f>VLOOKUP(C39,'BD  Materiales y equipos'!$B$3:$K$190,9,FALSE())*0.811905633063426</f>
        <v>6.7508876367263202</v>
      </c>
      <c r="O39" s="594">
        <f>VLOOKUP(C39,'BD  Materiales y equipos'!$B$3:$K$190,10,FALSE())*1.14265904837007</f>
        <v>5.5613720106503894</v>
      </c>
    </row>
    <row r="40" spans="1:15" ht="13.5" thickBot="1">
      <c r="A40" s="584" t="str">
        <f>IF(VLOOKUP(C40,'BD  Materiales y equipos'!$B$3:$F$190,1,FALSE())=C40,"CORRECTO","NO LISTADO")</f>
        <v>CORRECTO</v>
      </c>
      <c r="B40" s="147" t="s">
        <v>411</v>
      </c>
      <c r="C40" s="147" t="s">
        <v>825</v>
      </c>
      <c r="D40" s="191" t="str">
        <f>VLOOKUP(C40,'BD  Materiales y equipos'!$B$3:$F$190,2,FALSE())</f>
        <v>Unidad</v>
      </c>
      <c r="E40" s="191">
        <f>VLOOKUP(C40,'BD  Materiales y equipos'!$B$3:$F$190,3,FALSE())</f>
        <v>0</v>
      </c>
      <c r="F40" s="191" t="str">
        <f>VLOOKUP(C40,'BD  Materiales y equipos'!$B$3:$F$190,4,FALSE())</f>
        <v>900#</v>
      </c>
      <c r="G40" s="133">
        <v>3</v>
      </c>
      <c r="H40" s="194">
        <f>VLOOKUP(C40,'BD  Materiales y equipos'!$B$3:$I$190,8,FALSE())*G40</f>
        <v>569.78967194236225</v>
      </c>
      <c r="I40" s="194">
        <f t="shared" si="2"/>
        <v>12134.757025438541</v>
      </c>
      <c r="J40" s="194">
        <f t="shared" si="3"/>
        <v>4332.5522687777548</v>
      </c>
      <c r="K40" s="191" t="str">
        <f>VLOOKUP(C40,'BD  Materiales y equipos'!$B$3:$L$190,11,FALSE())</f>
        <v>IMPORTADO</v>
      </c>
      <c r="L40" s="436">
        <f t="shared" si="0"/>
        <v>1</v>
      </c>
      <c r="M40" s="421">
        <f t="shared" si="4"/>
        <v>1</v>
      </c>
      <c r="N40" s="594">
        <f>VLOOKUP(C40,'BD  Materiales y equipos'!$B$3:$K$190,9,FALSE())*0.811905633063426</f>
        <v>21.296905898754247</v>
      </c>
      <c r="O40" s="594">
        <f>VLOOKUP(C40,'BD  Materiales y equipos'!$B$3:$K$190,10,FALSE())*1.14265904837007</f>
        <v>7.6037746595308926</v>
      </c>
    </row>
    <row r="41" spans="1:15" ht="13.5" thickBot="1">
      <c r="A41" s="584" t="str">
        <f>IF(VLOOKUP(C41,'BD  Materiales y equipos'!$B$3:$F$190,1,FALSE())=C41,"CORRECTO","NO LISTADO")</f>
        <v>CORRECTO</v>
      </c>
      <c r="B41" s="147" t="s">
        <v>411</v>
      </c>
      <c r="C41" s="147" t="s">
        <v>826</v>
      </c>
      <c r="D41" s="191" t="str">
        <f>VLOOKUP(C41,'BD  Materiales y equipos'!$B$3:$F$190,2,FALSE())</f>
        <v>Unidad</v>
      </c>
      <c r="E41" s="191">
        <f>VLOOKUP(C41,'BD  Materiales y equipos'!$B$3:$F$190,3,FALSE())</f>
        <v>0</v>
      </c>
      <c r="F41" s="191" t="str">
        <f>VLOOKUP(C41,'BD  Materiales y equipos'!$B$3:$F$190,4,FALSE())</f>
        <v>900#</v>
      </c>
      <c r="G41" s="133">
        <v>3</v>
      </c>
      <c r="H41" s="194">
        <f>VLOOKUP(C41,'BD  Materiales y equipos'!$B$3:$I$190,8,FALSE())*G41</f>
        <v>569.78967194236225</v>
      </c>
      <c r="I41" s="194">
        <f t="shared" si="2"/>
        <v>5364.7218390052949</v>
      </c>
      <c r="J41" s="194">
        <f t="shared" si="3"/>
        <v>3168.8123334979209</v>
      </c>
      <c r="K41" s="191" t="str">
        <f>VLOOKUP(C41,'BD  Materiales y equipos'!$B$3:$L$190,11,FALSE())</f>
        <v>IMPORTADO</v>
      </c>
      <c r="L41" s="436">
        <f t="shared" si="0"/>
        <v>1</v>
      </c>
      <c r="M41" s="421">
        <f t="shared" si="4"/>
        <v>1</v>
      </c>
      <c r="N41" s="594">
        <f>VLOOKUP(C41,'BD  Materiales y equipos'!$B$3:$K$190,9,FALSE())*0.811905633063426</f>
        <v>9.4152669014119468</v>
      </c>
      <c r="O41" s="594">
        <f>VLOOKUP(C41,'BD  Materiales y equipos'!$B$3:$K$190,10,FALSE())*1.14265904837007</f>
        <v>5.5613720106503894</v>
      </c>
    </row>
    <row r="42" spans="1:15" ht="13.5" thickBot="1">
      <c r="A42" s="584" t="str">
        <f>IF(VLOOKUP(C42,'BD  Materiales y equipos'!$B$3:$F$190,1,FALSE())=C42,"CORRECTO","NO LISTADO")</f>
        <v>CORRECTO</v>
      </c>
      <c r="B42" s="147" t="s">
        <v>411</v>
      </c>
      <c r="C42" s="147" t="s">
        <v>741</v>
      </c>
      <c r="D42" s="191" t="str">
        <f>VLOOKUP(C42,'BD  Materiales y equipos'!$B$3:$F$190,2,FALSE())</f>
        <v>Unidad</v>
      </c>
      <c r="E42" s="191">
        <f>VLOOKUP(C42,'BD  Materiales y equipos'!$B$3:$F$190,3,FALSE())</f>
        <v>0</v>
      </c>
      <c r="F42" s="191" t="str">
        <f>VLOOKUP(C42,'BD  Materiales y equipos'!$B$3:$F$190,4,FALSE())</f>
        <v>150#</v>
      </c>
      <c r="G42" s="133">
        <v>8</v>
      </c>
      <c r="H42" s="194">
        <f>VLOOKUP(C42,'BD  Materiales y equipos'!$B$3:$I$190,8,FALSE())*G42</f>
        <v>104.46143985609974</v>
      </c>
      <c r="I42" s="194">
        <f t="shared" si="2"/>
        <v>718.73110145672604</v>
      </c>
      <c r="J42" s="194">
        <f t="shared" si="3"/>
        <v>773.7850498973188</v>
      </c>
      <c r="K42" s="191" t="str">
        <f>VLOOKUP(C42,'BD  Materiales y equipos'!$B$3:$L$190,11,FALSE())</f>
        <v>IMPORTADO</v>
      </c>
      <c r="L42" s="436">
        <f t="shared" si="0"/>
        <v>1</v>
      </c>
      <c r="M42" s="421">
        <f t="shared" si="4"/>
        <v>1</v>
      </c>
      <c r="N42" s="594">
        <f>VLOOKUP(C42,'BD  Materiales y equipos'!$B$3:$K$190,9,FALSE())*0.811905633063426</f>
        <v>6.8803484084348243</v>
      </c>
      <c r="O42" s="594">
        <f>VLOOKUP(C42,'BD  Materiales y equipos'!$B$3:$K$190,10,FALSE())*1.14265904837007</f>
        <v>7.4073749219160865</v>
      </c>
    </row>
    <row r="43" spans="1:15" ht="13.5" thickBot="1">
      <c r="A43" s="584" t="str">
        <f>IF(VLOOKUP(C43,'BD  Materiales y equipos'!$B$3:$F$190,1,FALSE())=C43,"CORRECTO","NO LISTADO")</f>
        <v>CORRECTO</v>
      </c>
      <c r="B43" s="147" t="s">
        <v>411</v>
      </c>
      <c r="C43" s="147" t="s">
        <v>742</v>
      </c>
      <c r="D43" s="191" t="str">
        <f>VLOOKUP(C43,'BD  Materiales y equipos'!$B$3:$F$190,2,FALSE())</f>
        <v>Unidad</v>
      </c>
      <c r="E43" s="191">
        <f>VLOOKUP(C43,'BD  Materiales y equipos'!$B$3:$F$190,3,FALSE())</f>
        <v>0</v>
      </c>
      <c r="F43" s="191" t="str">
        <f>VLOOKUP(C43,'BD  Materiales y equipos'!$B$3:$F$190,4,FALSE())</f>
        <v>150#</v>
      </c>
      <c r="G43" s="133">
        <v>16</v>
      </c>
      <c r="H43" s="194">
        <f>VLOOKUP(C43,'BD  Materiales y equipos'!$B$3:$I$190,8,FALSE())*G43</f>
        <v>71.223708992795281</v>
      </c>
      <c r="I43" s="194">
        <f t="shared" si="2"/>
        <v>845.35477017546884</v>
      </c>
      <c r="J43" s="194">
        <f t="shared" si="3"/>
        <v>527.58071583908099</v>
      </c>
      <c r="K43" s="191" t="str">
        <f>VLOOKUP(C43,'BD  Materiales y equipos'!$B$3:$L$190,11,FALSE())</f>
        <v>IMPORTADO</v>
      </c>
      <c r="L43" s="436">
        <f t="shared" si="0"/>
        <v>1</v>
      </c>
      <c r="M43" s="421">
        <f t="shared" si="4"/>
        <v>1</v>
      </c>
      <c r="N43" s="594">
        <f>VLOOKUP(C43,'BD  Materiales y equipos'!$B$3:$K$190,9,FALSE())*0.811905633063426</f>
        <v>11.869007976837905</v>
      </c>
      <c r="O43" s="594">
        <f>VLOOKUP(C43,'BD  Materiales y equipos'!$B$3:$K$190,10,FALSE())*1.14265904837007</f>
        <v>7.4073749219160865</v>
      </c>
    </row>
    <row r="44" spans="1:15" ht="13.5" thickBot="1">
      <c r="A44" s="584" t="str">
        <f>IF(VLOOKUP(C44,'BD  Materiales y equipos'!$B$3:$F$190,1,FALSE())=C44,"CORRECTO","NO LISTADO")</f>
        <v>CORRECTO</v>
      </c>
      <c r="B44" s="147" t="s">
        <v>411</v>
      </c>
      <c r="C44" s="147" t="s">
        <v>827</v>
      </c>
      <c r="D44" s="191" t="str">
        <f>VLOOKUP(C44,'BD  Materiales y equipos'!$B$3:$F$190,2,FALSE())</f>
        <v>Unidad</v>
      </c>
      <c r="E44" s="191">
        <f>VLOOKUP(C44,'BD  Materiales y equipos'!$B$3:$F$190,3,FALSE())</f>
        <v>0</v>
      </c>
      <c r="F44" s="191">
        <f>VLOOKUP(C44,'BD  Materiales y equipos'!$B$3:$F$190,4,FALSE())</f>
        <v>0</v>
      </c>
      <c r="G44" s="133">
        <v>7</v>
      </c>
      <c r="H44" s="194">
        <f>VLOOKUP(C44,'BD  Materiales y equipos'!$B$3:$I$190,8,FALSE())*G44</f>
        <v>186.9622361060876</v>
      </c>
      <c r="I44" s="194">
        <f t="shared" si="2"/>
        <v>26896.678783252308</v>
      </c>
      <c r="J44" s="194">
        <f t="shared" si="3"/>
        <v>10472.343130531801</v>
      </c>
      <c r="K44" s="191" t="str">
        <f>VLOOKUP(C44,'BD  Materiales y equipos'!$B$3:$L$190,11,FALSE())</f>
        <v>IMPORTADO</v>
      </c>
      <c r="L44" s="436">
        <f t="shared" si="0"/>
        <v>1</v>
      </c>
      <c r="M44" s="421">
        <f t="shared" si="4"/>
        <v>1</v>
      </c>
      <c r="N44" s="594">
        <f>VLOOKUP(C44,'BD  Materiales y equipos'!$B$3:$K$190,9,FALSE())*0.811905633063426</f>
        <v>143.86155912250845</v>
      </c>
      <c r="O44" s="594">
        <f>VLOOKUP(C44,'BD  Materiales y equipos'!$B$3:$K$190,10,FALSE())*1.14265904837007</f>
        <v>56.013146551100839</v>
      </c>
    </row>
    <row r="45" spans="1:15" ht="13.5" thickBot="1">
      <c r="A45" s="585" t="str">
        <f>IF(VLOOKUP(C45,'BD  Materiales y equipos'!$B$3:$F$190,1,FALSE())=C45,"CORRECTO","NO LISTADO")</f>
        <v>CORRECTO</v>
      </c>
      <c r="B45" s="586" t="s">
        <v>884</v>
      </c>
      <c r="C45" s="586" t="s">
        <v>888</v>
      </c>
      <c r="D45" s="587" t="str">
        <f>VLOOKUP(C45,'BD  Materiales y equipos'!$B$3:$F$190,2,FALSE())</f>
        <v>Unidad</v>
      </c>
      <c r="E45" s="587">
        <f>VLOOKUP(C45,'BD  Materiales y equipos'!$B$3:$F$190,3,FALSE())</f>
        <v>0</v>
      </c>
      <c r="F45" s="587"/>
      <c r="G45" s="599">
        <v>3</v>
      </c>
      <c r="H45" s="589">
        <f>VLOOKUP(C45,'BD  Materiales y equipos'!$B$3:$I$190,8,FALSE())*G45</f>
        <v>91719.715909090912</v>
      </c>
      <c r="I45" s="589">
        <f>N45*L45</f>
        <v>5866475.5565535389</v>
      </c>
      <c r="J45" s="589">
        <f>O45*H45*M45*'Costo estación'!A21</f>
        <v>1475645.4352281662</v>
      </c>
      <c r="K45" s="587" t="str">
        <f>VLOOKUP(C45,'BD  Materiales y equipos'!$B$3:$L$190,11,FALSE())</f>
        <v>IMPORTADO</v>
      </c>
      <c r="L45" s="436">
        <f>ppi_usa_bom_ind/ppi_usa_bom_ind_base</f>
        <v>1</v>
      </c>
      <c r="M45" s="421">
        <f t="shared" si="4"/>
        <v>1</v>
      </c>
      <c r="N45" s="665">
        <f>IF(tip_estacion="REPOTENCIACIÓN CASO 1",'Modelo Potencia de bombeo'!M4,'Modelo Potencia de bombeo'!F7)*1.28149014580997</f>
        <v>5866475.5565535389</v>
      </c>
      <c r="O45" s="594">
        <f>VLOOKUP(C45,'BD  Materiales y equipos'!$B$3:$K$190,10,FALSE())*1.14265904837007</f>
        <v>16.088639401050585</v>
      </c>
    </row>
  </sheetData>
  <conditionalFormatting sqref="A2:A45">
    <cfRule type="cellIs" dxfId="13" priority="2" operator="equal">
      <formula>"CORRECTO"</formula>
    </cfRule>
    <cfRule type="cellIs" dxfId="12"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24">
    <tabColor theme="5" tint="0.79998168889431442"/>
  </sheetPr>
  <dimension ref="A1:P57"/>
  <sheetViews>
    <sheetView showGridLines="0" showRowColHeaders="0" topLeftCell="G1" zoomScaleNormal="100" workbookViewId="0">
      <pane ySplit="1" topLeftCell="A47" activePane="bottomLeft" state="frozen"/>
      <selection activeCell="C17" sqref="C17:H17"/>
      <selection pane="bottomLeft" activeCell="C17" sqref="C17:H17"/>
    </sheetView>
  </sheetViews>
  <sheetFormatPr baseColWidth="10" defaultColWidth="9.140625" defaultRowHeight="12.75"/>
  <cols>
    <col min="1" max="1" width="11.28515625" customWidth="1"/>
    <col min="2" max="2" width="19.140625" customWidth="1"/>
    <col min="3" max="3" width="74.28515625" customWidth="1"/>
    <col min="4" max="4" width="10.7109375" style="122" customWidth="1"/>
    <col min="5" max="5" width="14" style="122" customWidth="1"/>
    <col min="6" max="6" width="10.42578125" style="122" customWidth="1"/>
    <col min="7" max="7" width="13.42578125" style="122" customWidth="1"/>
    <col min="8" max="8" width="20.140625" style="190" customWidth="1"/>
    <col min="9" max="9" width="15.28515625" style="124" customWidth="1"/>
    <col min="10" max="10" width="12.42578125" customWidth="1"/>
    <col min="11" max="11" width="10.7109375" customWidth="1"/>
    <col min="12" max="12" width="14.7109375" customWidth="1"/>
    <col min="13" max="13" width="23.42578125" customWidth="1"/>
    <col min="14" max="14" width="13.42578125" customWidth="1"/>
    <col min="15" max="15" width="16.85546875" customWidth="1"/>
    <col min="16" max="1025" width="10.42578125" customWidth="1"/>
  </cols>
  <sheetData>
    <row r="1" spans="1:15" ht="57" thickBot="1">
      <c r="A1" s="596" t="s">
        <v>955</v>
      </c>
      <c r="B1" s="597" t="s">
        <v>956</v>
      </c>
      <c r="C1" s="597" t="s">
        <v>957</v>
      </c>
      <c r="D1" s="597" t="s">
        <v>699</v>
      </c>
      <c r="E1" s="597" t="s">
        <v>700</v>
      </c>
      <c r="F1" s="597" t="s">
        <v>701</v>
      </c>
      <c r="G1" s="597" t="s">
        <v>673</v>
      </c>
      <c r="H1" s="598" t="s">
        <v>958</v>
      </c>
      <c r="I1" s="597" t="s">
        <v>964</v>
      </c>
      <c r="J1" s="597" t="s">
        <v>960</v>
      </c>
      <c r="K1" s="604" t="s">
        <v>706</v>
      </c>
      <c r="L1" s="605" t="s">
        <v>961</v>
      </c>
      <c r="M1" s="197" t="s">
        <v>962</v>
      </c>
      <c r="N1" s="597" t="s">
        <v>965</v>
      </c>
      <c r="O1" s="597" t="s">
        <v>966</v>
      </c>
    </row>
    <row r="2" spans="1:15" ht="13.5" thickBot="1">
      <c r="A2" s="590" t="str">
        <f>IF(VLOOKUP(C2,'BD  Materiales y equipos'!$B$3:$F$190,1,FALSE())=C2,"CORRECTO","NO LISTADO")</f>
        <v>CORRECTO</v>
      </c>
      <c r="B2" s="591" t="s">
        <v>411</v>
      </c>
      <c r="C2" s="591" t="s">
        <v>800</v>
      </c>
      <c r="D2" s="592" t="str">
        <f>VLOOKUP(C2,'BD  Materiales y equipos'!$B$3:$F$190,2,FALSE())</f>
        <v>Metro lineal</v>
      </c>
      <c r="E2" s="592" t="str">
        <f>VLOOKUP(C2,'BD  Materiales y equipos'!$B$3:$F$190,3,FALSE())</f>
        <v>XS</v>
      </c>
      <c r="F2" s="592">
        <f>VLOOKUP(C2,'BD  Materiales y equipos'!$B$3:$F$190,4,FALSE())</f>
        <v>0</v>
      </c>
      <c r="G2" s="601">
        <v>24</v>
      </c>
      <c r="H2" s="594">
        <f>VLOOKUP(C2,'BD  Materiales y equipos'!$B$3:$I$190,8,FALSE())*G2</f>
        <v>695.09917828783148</v>
      </c>
      <c r="I2" s="594">
        <f>N2*H2*L2</f>
        <v>1633.2932330242313</v>
      </c>
      <c r="J2" s="594">
        <f>O2*H2*M2</f>
        <v>3836.2020884375647</v>
      </c>
      <c r="K2" s="592" t="str">
        <f>VLOOKUP(C2,'BD  Materiales y equipos'!$B$3:$L$190,11,FALSE())</f>
        <v>IMPORTADO</v>
      </c>
      <c r="L2" s="603">
        <f t="shared" ref="L2:L33" si="0">+acero/acero_base</f>
        <v>1</v>
      </c>
      <c r="M2" s="595">
        <f t="shared" ref="M2:M31" si="1">(0.65*ipc/ipc_base*trm_base/trm+0.35*fac_mano_obra)</f>
        <v>1</v>
      </c>
      <c r="N2" s="594">
        <f>VLOOKUP(C2,'BD  Materiales y equipos'!$B$3:$K$190,9,FALSE())*0.811905633063426</f>
        <v>2.3497268937180444</v>
      </c>
      <c r="O2" s="594">
        <f>VLOOKUP(C2,'BD  Materiales y equipos'!$B$3:$K$190,10,FALSE())*1.14265904837007</f>
        <v>5.5189276699864598</v>
      </c>
    </row>
    <row r="3" spans="1:15" ht="13.5" thickBot="1">
      <c r="A3" s="584" t="str">
        <f>IF(VLOOKUP(C3,'BD  Materiales y equipos'!$B$3:$F$190,1,FALSE())=C3,"CORRECTO","NO LISTADO")</f>
        <v>CORRECTO</v>
      </c>
      <c r="B3" s="147" t="s">
        <v>411</v>
      </c>
      <c r="C3" s="147" t="s">
        <v>828</v>
      </c>
      <c r="D3" s="191" t="str">
        <f>VLOOKUP(C3,'BD  Materiales y equipos'!$B$3:$F$190,2,FALSE())</f>
        <v>Metro lineal</v>
      </c>
      <c r="E3" s="191" t="str">
        <f>VLOOKUP(C3,'BD  Materiales y equipos'!$B$3:$F$190,3,FALSE())</f>
        <v>XS</v>
      </c>
      <c r="F3" s="191">
        <f>VLOOKUP(C3,'BD  Materiales y equipos'!$B$3:$F$190,4,FALSE())</f>
        <v>0</v>
      </c>
      <c r="G3" s="133">
        <v>60</v>
      </c>
      <c r="H3" s="194">
        <f>VLOOKUP(C3,'BD  Materiales y equipos'!$B$3:$I$190,8,FALSE())*G3</f>
        <v>758.90669663630263</v>
      </c>
      <c r="I3" s="194">
        <f t="shared" ref="I3:I57" si="2">N3*H3*L3</f>
        <v>1780.7273614223243</v>
      </c>
      <c r="J3" s="194">
        <f t="shared" ref="J3:J57" si="3">O3*H3*M3</f>
        <v>4403.7647521548888</v>
      </c>
      <c r="K3" s="191" t="str">
        <f>VLOOKUP(C3,'BD  Materiales y equipos'!$B$3:$L$190,11,FALSE())</f>
        <v>IMPORTADO</v>
      </c>
      <c r="L3" s="436">
        <f t="shared" si="0"/>
        <v>1</v>
      </c>
      <c r="M3" s="421">
        <f t="shared" si="1"/>
        <v>1</v>
      </c>
      <c r="N3" s="194">
        <f>VLOOKUP(C3,'BD  Materiales y equipos'!$B$3:$K$190,9,FALSE())*0.811905633063426</f>
        <v>2.3464378023214594</v>
      </c>
      <c r="O3" s="194">
        <f>VLOOKUP(C3,'BD  Materiales y equipos'!$B$3:$K$190,10,FALSE())*1.14265904837007</f>
        <v>5.8027749282931191</v>
      </c>
    </row>
    <row r="4" spans="1:15" ht="13.5" thickBot="1">
      <c r="A4" s="584" t="str">
        <f>IF(VLOOKUP(C4,'BD  Materiales y equipos'!$B$3:$F$190,1,FALSE())=C4,"CORRECTO","NO LISTADO")</f>
        <v>CORRECTO</v>
      </c>
      <c r="B4" s="147" t="s">
        <v>411</v>
      </c>
      <c r="C4" s="147" t="s">
        <v>829</v>
      </c>
      <c r="D4" s="191" t="str">
        <f>VLOOKUP(C4,'BD  Materiales y equipos'!$B$3:$F$190,2,FALSE())</f>
        <v>Metro lineal</v>
      </c>
      <c r="E4" s="191" t="str">
        <f>VLOOKUP(C4,'BD  Materiales y equipos'!$B$3:$F$190,3,FALSE())</f>
        <v>XS</v>
      </c>
      <c r="F4" s="191">
        <f>VLOOKUP(C4,'BD  Materiales y equipos'!$B$3:$F$190,4,FALSE())</f>
        <v>0</v>
      </c>
      <c r="G4" s="133">
        <v>12</v>
      </c>
      <c r="H4" s="194">
        <f>VLOOKUP(C4,'BD  Materiales y equipos'!$B$3:$I$190,8,FALSE())*G4</f>
        <v>151.67534677186441</v>
      </c>
      <c r="I4" s="194">
        <f t="shared" si="2"/>
        <v>355.73133635456429</v>
      </c>
      <c r="J4" s="194">
        <f t="shared" si="3"/>
        <v>523.17829259627013</v>
      </c>
      <c r="K4" s="191" t="str">
        <f>VLOOKUP(C4,'BD  Materiales y equipos'!$B$3:$L$190,11,FALSE())</f>
        <v>IMPORTADO</v>
      </c>
      <c r="L4" s="436">
        <f t="shared" si="0"/>
        <v>1</v>
      </c>
      <c r="M4" s="421">
        <f t="shared" si="1"/>
        <v>1</v>
      </c>
      <c r="N4" s="194">
        <f>VLOOKUP(C4,'BD  Materiales y equipos'!$B$3:$K$190,9,FALSE())*0.811905633063426</f>
        <v>2.34534711095549</v>
      </c>
      <c r="O4" s="194">
        <f>VLOOKUP(C4,'BD  Materiales y equipos'!$B$3:$K$190,10,FALSE())*1.14265904837007</f>
        <v>3.4493297937415299</v>
      </c>
    </row>
    <row r="5" spans="1:15" ht="13.5" thickBot="1">
      <c r="A5" s="584" t="str">
        <f>IF(VLOOKUP(C5,'BD  Materiales y equipos'!$B$3:$F$190,1,FALSE())=C5,"CORRECTO","NO LISTADO")</f>
        <v>CORRECTO</v>
      </c>
      <c r="B5" s="147" t="s">
        <v>411</v>
      </c>
      <c r="C5" s="147" t="s">
        <v>801</v>
      </c>
      <c r="D5" s="191" t="str">
        <f>VLOOKUP(C5,'BD  Materiales y equipos'!$B$3:$F$190,2,FALSE())</f>
        <v>Metro lineal</v>
      </c>
      <c r="E5" s="191" t="str">
        <f>VLOOKUP(C5,'BD  Materiales y equipos'!$B$3:$F$190,3,FALSE())</f>
        <v>XS</v>
      </c>
      <c r="F5" s="191">
        <f>VLOOKUP(C5,'BD  Materiales y equipos'!$B$3:$F$190,4,FALSE())</f>
        <v>0</v>
      </c>
      <c r="G5" s="133">
        <v>36</v>
      </c>
      <c r="H5" s="194">
        <f>VLOOKUP(C5,'BD  Materiales y equipos'!$B$3:$I$190,8,FALSE())*G5</f>
        <v>238.77748439834622</v>
      </c>
      <c r="I5" s="194">
        <f t="shared" si="2"/>
        <v>564.57038535226582</v>
      </c>
      <c r="J5" s="194">
        <f t="shared" si="3"/>
        <v>990.96160354014387</v>
      </c>
      <c r="K5" s="191" t="str">
        <f>VLOOKUP(C5,'BD  Materiales y equipos'!$B$3:$L$190,11,FALSE())</f>
        <v>IMPORTADO</v>
      </c>
      <c r="L5" s="436">
        <f t="shared" si="0"/>
        <v>1</v>
      </c>
      <c r="M5" s="421">
        <f t="shared" si="1"/>
        <v>1</v>
      </c>
      <c r="N5" s="194">
        <f>VLOOKUP(C5,'BD  Materiales y equipos'!$B$3:$K$190,9,FALSE())*0.811905633063426</f>
        <v>2.3644205263943894</v>
      </c>
      <c r="O5" s="194">
        <f>VLOOKUP(C5,'BD  Materiales y equipos'!$B$3:$K$190,10,FALSE())*1.14265904837007</f>
        <v>4.1501467612706255</v>
      </c>
    </row>
    <row r="6" spans="1:15" ht="13.5" thickBot="1">
      <c r="A6" s="584" t="str">
        <f>IF(VLOOKUP(C6,'BD  Materiales y equipos'!$B$3:$F$190,1,FALSE())=C6,"CORRECTO","NO LISTADO")</f>
        <v>CORRECTO</v>
      </c>
      <c r="B6" s="147" t="s">
        <v>411</v>
      </c>
      <c r="C6" s="147" t="s">
        <v>802</v>
      </c>
      <c r="D6" s="191" t="str">
        <f>VLOOKUP(C6,'BD  Materiales y equipos'!$B$3:$F$190,2,FALSE())</f>
        <v>Metro lineal</v>
      </c>
      <c r="E6" s="191" t="str">
        <f>VLOOKUP(C6,'BD  Materiales y equipos'!$B$3:$F$190,3,FALSE())</f>
        <v>XS</v>
      </c>
      <c r="F6" s="191">
        <f>VLOOKUP(C6,'BD  Materiales y equipos'!$B$3:$F$190,4,FALSE())</f>
        <v>0</v>
      </c>
      <c r="G6" s="133">
        <v>36</v>
      </c>
      <c r="H6" s="194">
        <f>VLOOKUP(C6,'BD  Materiales y equipos'!$B$3:$I$190,8,FALSE())*G6</f>
        <v>80.019837053405496</v>
      </c>
      <c r="I6" s="194">
        <f t="shared" si="2"/>
        <v>234.51216904183025</v>
      </c>
      <c r="J6" s="194">
        <f t="shared" si="3"/>
        <v>332.09406758459403</v>
      </c>
      <c r="K6" s="191" t="str">
        <f>VLOOKUP(C6,'BD  Materiales y equipos'!$B$3:$L$190,11,FALSE())</f>
        <v>IMPORTADO</v>
      </c>
      <c r="L6" s="436">
        <f t="shared" si="0"/>
        <v>1</v>
      </c>
      <c r="M6" s="421">
        <f t="shared" si="1"/>
        <v>1</v>
      </c>
      <c r="N6" s="194">
        <f>VLOOKUP(C6,'BD  Materiales y equipos'!$B$3:$K$190,9,FALSE())*0.811905633063426</f>
        <v>2.9306754134642397</v>
      </c>
      <c r="O6" s="194">
        <f>VLOOKUP(C6,'BD  Materiales y equipos'!$B$3:$K$190,10,FALSE())*1.14265904837007</f>
        <v>4.1501467612706255</v>
      </c>
    </row>
    <row r="7" spans="1:15" ht="13.5" thickBot="1">
      <c r="A7" s="584" t="str">
        <f>IF(VLOOKUP(C7,'BD  Materiales y equipos'!$B$3:$F$190,1,FALSE())=C7,"CORRECTO","NO LISTADO")</f>
        <v>CORRECTO</v>
      </c>
      <c r="B7" s="147" t="s">
        <v>411</v>
      </c>
      <c r="C7" s="147" t="s">
        <v>746</v>
      </c>
      <c r="D7" s="191" t="str">
        <f>VLOOKUP(C7,'BD  Materiales y equipos'!$B$3:$F$190,2,FALSE())</f>
        <v>Metro lineal</v>
      </c>
      <c r="E7" s="191">
        <f>VLOOKUP(C7,'BD  Materiales y equipos'!$B$3:$F$190,3,FALSE())</f>
        <v>40</v>
      </c>
      <c r="F7" s="191">
        <f>VLOOKUP(C7,'BD  Materiales y equipos'!$B$3:$F$190,4,FALSE())</f>
        <v>0</v>
      </c>
      <c r="G7" s="133">
        <v>500</v>
      </c>
      <c r="H7" s="194">
        <f>VLOOKUP(C7,'BD  Materiales y equipos'!$B$3:$I$190,8,FALSE())*G7</f>
        <v>6319.6203458398986</v>
      </c>
      <c r="I7" s="194">
        <f t="shared" si="2"/>
        <v>11324.107683816459</v>
      </c>
      <c r="J7" s="194">
        <f t="shared" si="3"/>
        <v>21798.454744040715</v>
      </c>
      <c r="K7" s="191" t="str">
        <f>VLOOKUP(C7,'BD  Materiales y equipos'!$B$3:$L$190,11,FALSE())</f>
        <v>IMPORTADO</v>
      </c>
      <c r="L7" s="436">
        <f t="shared" si="0"/>
        <v>1</v>
      </c>
      <c r="M7" s="421">
        <f t="shared" si="1"/>
        <v>1</v>
      </c>
      <c r="N7" s="194">
        <f>VLOOKUP(C7,'BD  Materiales y equipos'!$B$3:$K$190,9,FALSE())*0.811905633063426</f>
        <v>1.7918968330543672</v>
      </c>
      <c r="O7" s="194">
        <f>VLOOKUP(C7,'BD  Materiales y equipos'!$B$3:$K$190,10,FALSE())*1.14265904837007</f>
        <v>3.4493297937415299</v>
      </c>
    </row>
    <row r="8" spans="1:15" ht="13.5" thickBot="1">
      <c r="A8" s="584" t="str">
        <f>IF(VLOOKUP(C8,'BD  Materiales y equipos'!$B$3:$F$190,1,FALSE())=C8,"CORRECTO","NO LISTADO")</f>
        <v>CORRECTO</v>
      </c>
      <c r="B8" s="147" t="s">
        <v>411</v>
      </c>
      <c r="C8" s="147" t="s">
        <v>830</v>
      </c>
      <c r="D8" s="191" t="str">
        <f>VLOOKUP(C8,'BD  Materiales y equipos'!$B$3:$F$190,2,FALSE())</f>
        <v>Metro lineal</v>
      </c>
      <c r="E8" s="191">
        <f>VLOOKUP(C8,'BD  Materiales y equipos'!$B$3:$F$190,3,FALSE())</f>
        <v>40</v>
      </c>
      <c r="F8" s="191">
        <f>VLOOKUP(C8,'BD  Materiales y equipos'!$B$3:$F$190,4,FALSE())</f>
        <v>0</v>
      </c>
      <c r="G8" s="133">
        <v>250</v>
      </c>
      <c r="H8" s="194">
        <f>VLOOKUP(C8,'BD  Materiales y equipos'!$B$3:$I$190,8,FALSE())*G8</f>
        <v>2099.9775037858585</v>
      </c>
      <c r="I8" s="194">
        <f t="shared" si="2"/>
        <v>4940.2350635928287</v>
      </c>
      <c r="J8" s="194">
        <f t="shared" si="3"/>
        <v>7842.4716424968601</v>
      </c>
      <c r="K8" s="191" t="str">
        <f>VLOOKUP(C8,'BD  Materiales y equipos'!$B$3:$L$190,11,FALSE())</f>
        <v>IMPORTADO</v>
      </c>
      <c r="L8" s="436">
        <f t="shared" si="0"/>
        <v>1</v>
      </c>
      <c r="M8" s="421">
        <f t="shared" si="1"/>
        <v>1</v>
      </c>
      <c r="N8" s="194">
        <f>VLOOKUP(C8,'BD  Materiales y equipos'!$B$3:$K$190,9,FALSE())*0.811905633063426</f>
        <v>2.3525180887350117</v>
      </c>
      <c r="O8" s="194">
        <f>VLOOKUP(C8,'BD  Materiales y equipos'!$B$3:$K$190,10,FALSE())*1.14265904837007</f>
        <v>3.7345503122573365</v>
      </c>
    </row>
    <row r="9" spans="1:15" ht="13.5" thickBot="1">
      <c r="A9" s="584" t="str">
        <f>IF(VLOOKUP(C9,'BD  Materiales y equipos'!$B$3:$F$190,1,FALSE())=C9,"CORRECTO","NO LISTADO")</f>
        <v>CORRECTO</v>
      </c>
      <c r="B9" s="147" t="s">
        <v>411</v>
      </c>
      <c r="C9" s="147" t="s">
        <v>712</v>
      </c>
      <c r="D9" s="191" t="str">
        <f>VLOOKUP(C9,'BD  Materiales y equipos'!$B$3:$F$190,2,FALSE())</f>
        <v>Metro lineal</v>
      </c>
      <c r="E9" s="191">
        <f>VLOOKUP(C9,'BD  Materiales y equipos'!$B$3:$F$190,3,FALSE())</f>
        <v>40</v>
      </c>
      <c r="F9" s="191">
        <f>VLOOKUP(C9,'BD  Materiales y equipos'!$B$3:$F$190,4,FALSE())</f>
        <v>0</v>
      </c>
      <c r="G9" s="133">
        <v>60</v>
      </c>
      <c r="H9" s="194">
        <f>VLOOKUP(C9,'BD  Materiales y equipos'!$B$3:$I$190,8,FALSE())*G9</f>
        <v>286.70986234653611</v>
      </c>
      <c r="I9" s="194">
        <f t="shared" si="2"/>
        <v>896.31742335327112</v>
      </c>
      <c r="J9" s="194">
        <f t="shared" si="3"/>
        <v>1189.8880066418237</v>
      </c>
      <c r="K9" s="191" t="str">
        <f>VLOOKUP(C9,'BD  Materiales y equipos'!$B$3:$L$190,11,FALSE())</f>
        <v>IMPORTADO</v>
      </c>
      <c r="L9" s="436">
        <f t="shared" si="0"/>
        <v>1</v>
      </c>
      <c r="M9" s="421">
        <f t="shared" si="1"/>
        <v>1</v>
      </c>
      <c r="N9" s="194">
        <f>VLOOKUP(C9,'BD  Materiales y equipos'!$B$3:$K$190,9,FALSE())*0.811905633063426</f>
        <v>3.1262176195038727</v>
      </c>
      <c r="O9" s="194">
        <f>VLOOKUP(C9,'BD  Materiales y equipos'!$B$3:$K$190,10,FALSE())*1.14265904837007</f>
        <v>4.1501467612706255</v>
      </c>
    </row>
    <row r="10" spans="1:15" ht="13.5" thickBot="1">
      <c r="A10" s="584" t="str">
        <f>IF(VLOOKUP(C10,'BD  Materiales y equipos'!$B$3:$F$190,1,FALSE())=C10,"CORRECTO","NO LISTADO")</f>
        <v>CORRECTO</v>
      </c>
      <c r="B10" s="147" t="s">
        <v>411</v>
      </c>
      <c r="C10" s="147" t="s">
        <v>713</v>
      </c>
      <c r="D10" s="191" t="str">
        <f>VLOOKUP(C10,'BD  Materiales y equipos'!$B$3:$F$190,2,FALSE())</f>
        <v>Metro lineal</v>
      </c>
      <c r="E10" s="191">
        <f>VLOOKUP(C10,'BD  Materiales y equipos'!$B$3:$F$190,3,FALSE())</f>
        <v>40</v>
      </c>
      <c r="F10" s="191">
        <f>VLOOKUP(C10,'BD  Materiales y equipos'!$B$3:$F$190,4,FALSE())</f>
        <v>0</v>
      </c>
      <c r="G10" s="133">
        <v>60</v>
      </c>
      <c r="H10" s="194">
        <f>VLOOKUP(C10,'BD  Materiales y equipos'!$B$3:$I$190,8,FALSE())*G10</f>
        <v>97.036184465158527</v>
      </c>
      <c r="I10" s="194">
        <f t="shared" si="2"/>
        <v>231.30772215568305</v>
      </c>
      <c r="J10" s="194">
        <f t="shared" si="3"/>
        <v>402.71440668413663</v>
      </c>
      <c r="K10" s="191" t="str">
        <f>VLOOKUP(C10,'BD  Materiales y equipos'!$B$3:$L$190,11,FALSE())</f>
        <v>IMPORTADO</v>
      </c>
      <c r="L10" s="436">
        <f t="shared" si="0"/>
        <v>1</v>
      </c>
      <c r="M10" s="421">
        <f t="shared" si="1"/>
        <v>1</v>
      </c>
      <c r="N10" s="194">
        <f>VLOOKUP(C10,'BD  Materiales y equipos'!$B$3:$K$190,9,FALSE())*0.811905633063426</f>
        <v>2.383726477196098</v>
      </c>
      <c r="O10" s="194">
        <f>VLOOKUP(C10,'BD  Materiales y equipos'!$B$3:$K$190,10,FALSE())*1.14265904837007</f>
        <v>4.1501467612706255</v>
      </c>
    </row>
    <row r="11" spans="1:15" ht="13.5" thickBot="1">
      <c r="A11" s="584" t="str">
        <f>IF(VLOOKUP(C11,'BD  Materiales y equipos'!$B$3:$F$190,1,FALSE())=C11,"CORRECTO","NO LISTADO")</f>
        <v>CORRECTO</v>
      </c>
      <c r="B11" s="147" t="s">
        <v>411</v>
      </c>
      <c r="C11" s="147" t="s">
        <v>831</v>
      </c>
      <c r="D11" s="191" t="str">
        <f>VLOOKUP(C11,'BD  Materiales y equipos'!$B$3:$F$190,2,FALSE())</f>
        <v>Unidad</v>
      </c>
      <c r="E11" s="191" t="str">
        <f>VLOOKUP(C11,'BD  Materiales y equipos'!$B$3:$F$190,3,FALSE())</f>
        <v>XS</v>
      </c>
      <c r="F11" s="191">
        <f>VLOOKUP(C11,'BD  Materiales y equipos'!$B$3:$F$190,4,FALSE())</f>
        <v>0</v>
      </c>
      <c r="G11" s="133">
        <v>4</v>
      </c>
      <c r="H11" s="194">
        <f>VLOOKUP(C11,'BD  Materiales y equipos'!$B$3:$I$190,8,FALSE())*G11</f>
        <v>54.382660453091084</v>
      </c>
      <c r="I11" s="194">
        <f t="shared" si="2"/>
        <v>2033.5803906187091</v>
      </c>
      <c r="J11" s="194">
        <f t="shared" si="3"/>
        <v>1424.9487093856555</v>
      </c>
      <c r="K11" s="191" t="str">
        <f>VLOOKUP(C11,'BD  Materiales y equipos'!$B$3:$L$190,11,FALSE())</f>
        <v>IMPORTADO</v>
      </c>
      <c r="L11" s="436">
        <f t="shared" si="0"/>
        <v>1</v>
      </c>
      <c r="M11" s="421">
        <f t="shared" si="1"/>
        <v>1</v>
      </c>
      <c r="N11" s="194">
        <f>VLOOKUP(C11,'BD  Materiales y equipos'!$B$3:$K$190,9,FALSE())*0.811905633063426</f>
        <v>37.393911472441054</v>
      </c>
      <c r="O11" s="194">
        <f>VLOOKUP(C11,'BD  Materiales y equipos'!$B$3:$K$190,10,FALSE())*1.14265904837007</f>
        <v>26.202261851730761</v>
      </c>
    </row>
    <row r="12" spans="1:15" ht="13.5" thickBot="1">
      <c r="A12" s="584" t="str">
        <f>IF(VLOOKUP(C12,'BD  Materiales y equipos'!$B$3:$F$190,1,FALSE())=C12,"CORRECTO","NO LISTADO")</f>
        <v>CORRECTO</v>
      </c>
      <c r="B12" s="147" t="s">
        <v>411</v>
      </c>
      <c r="C12" s="147" t="s">
        <v>786</v>
      </c>
      <c r="D12" s="191" t="str">
        <f>VLOOKUP(C12,'BD  Materiales y equipos'!$B$3:$F$190,2,FALSE())</f>
        <v>Unidad</v>
      </c>
      <c r="E12" s="191" t="str">
        <f>VLOOKUP(C12,'BD  Materiales y equipos'!$B$3:$F$190,3,FALSE())</f>
        <v>STD</v>
      </c>
      <c r="F12" s="191">
        <f>VLOOKUP(C12,'BD  Materiales y equipos'!$B$3:$F$190,4,FALSE())</f>
        <v>0</v>
      </c>
      <c r="G12" s="133">
        <v>14</v>
      </c>
      <c r="H12" s="194">
        <f>VLOOKUP(C12,'BD  Materiales y equipos'!$B$3:$I$190,8,FALSE())*G12</f>
        <v>60.305524462833674</v>
      </c>
      <c r="I12" s="194">
        <f t="shared" si="2"/>
        <v>3653.2163367963135</v>
      </c>
      <c r="J12" s="194">
        <f t="shared" si="3"/>
        <v>1724.7072940473274</v>
      </c>
      <c r="K12" s="191" t="str">
        <f>VLOOKUP(C12,'BD  Materiales y equipos'!$B$3:$L$190,11,FALSE())</f>
        <v>IMPORTADO</v>
      </c>
      <c r="L12" s="436">
        <f t="shared" si="0"/>
        <v>1</v>
      </c>
      <c r="M12" s="421">
        <f t="shared" si="1"/>
        <v>1</v>
      </c>
      <c r="N12" s="194">
        <f>VLOOKUP(C12,'BD  Materiales y equipos'!$B$3:$K$190,9,FALSE())*0.811905633063426</f>
        <v>60.578468877221901</v>
      </c>
      <c r="O12" s="194">
        <f>VLOOKUP(C12,'BD  Materiales y equipos'!$B$3:$K$190,10,FALSE())*1.14265904837007</f>
        <v>28.599490832888211</v>
      </c>
    </row>
    <row r="13" spans="1:15" ht="13.5" thickBot="1">
      <c r="A13" s="584" t="str">
        <f>IF(VLOOKUP(C13,'BD  Materiales y equipos'!$B$3:$F$190,1,FALSE())=C13,"CORRECTO","NO LISTADO")</f>
        <v>CORRECTO</v>
      </c>
      <c r="B13" s="147" t="s">
        <v>411</v>
      </c>
      <c r="C13" s="147" t="s">
        <v>832</v>
      </c>
      <c r="D13" s="191" t="str">
        <f>VLOOKUP(C13,'BD  Materiales y equipos'!$B$3:$F$190,2,FALSE())</f>
        <v>Unidad</v>
      </c>
      <c r="E13" s="191" t="str">
        <f>VLOOKUP(C13,'BD  Materiales y equipos'!$B$3:$F$190,3,FALSE())</f>
        <v>XS</v>
      </c>
      <c r="F13" s="191">
        <f>VLOOKUP(C13,'BD  Materiales y equipos'!$B$3:$F$190,4,FALSE())</f>
        <v>0</v>
      </c>
      <c r="G13" s="133">
        <v>8</v>
      </c>
      <c r="H13" s="194">
        <f>VLOOKUP(C13,'BD  Materiales y equipos'!$B$3:$I$190,8,FALSE())*G13</f>
        <v>24.768340404378115</v>
      </c>
      <c r="I13" s="194">
        <f t="shared" si="2"/>
        <v>1713.60470830335</v>
      </c>
      <c r="J13" s="194">
        <f t="shared" si="3"/>
        <v>702.36623350388675</v>
      </c>
      <c r="K13" s="191" t="str">
        <f>VLOOKUP(C13,'BD  Materiales y equipos'!$B$3:$L$190,11,FALSE())</f>
        <v>IMPORTADO</v>
      </c>
      <c r="L13" s="436">
        <f t="shared" si="0"/>
        <v>1</v>
      </c>
      <c r="M13" s="421">
        <f t="shared" si="1"/>
        <v>1</v>
      </c>
      <c r="N13" s="194">
        <f>VLOOKUP(C13,'BD  Materiales y equipos'!$B$3:$K$190,9,FALSE())*0.811905633063426</f>
        <v>69.185285744879735</v>
      </c>
      <c r="O13" s="194">
        <f>VLOOKUP(C13,'BD  Materiales y equipos'!$B$3:$K$190,10,FALSE())*1.14265904837007</f>
        <v>28.357420078889689</v>
      </c>
    </row>
    <row r="14" spans="1:15" ht="13.5" thickBot="1">
      <c r="A14" s="584" t="str">
        <f>IF(VLOOKUP(C14,'BD  Materiales y equipos'!$B$3:$F$190,1,FALSE())=C14,"CORRECTO","NO LISTADO")</f>
        <v>CORRECTO</v>
      </c>
      <c r="B14" s="147" t="s">
        <v>411</v>
      </c>
      <c r="C14" s="147" t="s">
        <v>833</v>
      </c>
      <c r="D14" s="191" t="str">
        <f>VLOOKUP(C14,'BD  Materiales y equipos'!$B$3:$F$190,2,FALSE())</f>
        <v>Unidad</v>
      </c>
      <c r="E14" s="191" t="str">
        <f>VLOOKUP(C14,'BD  Materiales y equipos'!$B$3:$F$190,3,FALSE())</f>
        <v>STD</v>
      </c>
      <c r="F14" s="191">
        <f>VLOOKUP(C14,'BD  Materiales y equipos'!$B$3:$F$190,4,FALSE())</f>
        <v>0</v>
      </c>
      <c r="G14" s="133">
        <v>8</v>
      </c>
      <c r="H14" s="194">
        <f>VLOOKUP(C14,'BD  Materiales y equipos'!$B$3:$I$190,8,FALSE())*G14</f>
        <v>16.153265481116165</v>
      </c>
      <c r="I14" s="194">
        <f t="shared" si="2"/>
        <v>1385.9187685828038</v>
      </c>
      <c r="J14" s="194">
        <f t="shared" si="3"/>
        <v>462.136502522147</v>
      </c>
      <c r="K14" s="191" t="str">
        <f>VLOOKUP(C14,'BD  Materiales y equipos'!$B$3:$L$190,11,FALSE())</f>
        <v>IMPORTADO</v>
      </c>
      <c r="L14" s="436">
        <f t="shared" si="0"/>
        <v>1</v>
      </c>
      <c r="M14" s="421">
        <f t="shared" si="1"/>
        <v>1</v>
      </c>
      <c r="N14" s="194">
        <f>VLOOKUP(C14,'BD  Materiales y equipos'!$B$3:$K$190,9,FALSE())*0.811905633063426</f>
        <v>85.79805552029093</v>
      </c>
      <c r="O14" s="194">
        <f>VLOOKUP(C14,'BD  Materiales y equipos'!$B$3:$K$190,10,FALSE())*1.14265904837007</f>
        <v>28.609478564096136</v>
      </c>
    </row>
    <row r="15" spans="1:15" ht="13.5" thickBot="1">
      <c r="A15" s="584" t="str">
        <f>IF(VLOOKUP(C15,'BD  Materiales y equipos'!$B$3:$F$190,1,FALSE())=C15,"CORRECTO","NO LISTADO")</f>
        <v>CORRECTO</v>
      </c>
      <c r="B15" s="147" t="s">
        <v>411</v>
      </c>
      <c r="C15" s="147" t="s">
        <v>804</v>
      </c>
      <c r="D15" s="191" t="str">
        <f>VLOOKUP(C15,'BD  Materiales y equipos'!$B$3:$F$190,2,FALSE())</f>
        <v>Unidad</v>
      </c>
      <c r="E15" s="191" t="str">
        <f>VLOOKUP(C15,'BD  Materiales y equipos'!$B$3:$F$190,3,FALSE())</f>
        <v>XS</v>
      </c>
      <c r="F15" s="191">
        <f>VLOOKUP(C15,'BD  Materiales y equipos'!$B$3:$F$190,4,FALSE())</f>
        <v>0</v>
      </c>
      <c r="G15" s="133">
        <v>8</v>
      </c>
      <c r="H15" s="194">
        <f>VLOOKUP(C15,'BD  Materiales y equipos'!$B$3:$I$190,8,FALSE())*G15</f>
        <v>9.1535171059658254</v>
      </c>
      <c r="I15" s="194">
        <f t="shared" si="2"/>
        <v>1094.8565515369021</v>
      </c>
      <c r="J15" s="194">
        <f t="shared" si="3"/>
        <v>409.73573699568476</v>
      </c>
      <c r="K15" s="191" t="str">
        <f>VLOOKUP(C15,'BD  Materiales y equipos'!$B$3:$L$190,11,FALSE())</f>
        <v>IMPORTADO</v>
      </c>
      <c r="L15" s="436">
        <f t="shared" si="0"/>
        <v>1</v>
      </c>
      <c r="M15" s="421">
        <f t="shared" si="1"/>
        <v>1</v>
      </c>
      <c r="N15" s="194">
        <f>VLOOKUP(C15,'BD  Materiales y equipos'!$B$3:$K$190,9,FALSE())*0.811905633063426</f>
        <v>119.61047746590508</v>
      </c>
      <c r="O15" s="194">
        <f>VLOOKUP(C15,'BD  Materiales y equipos'!$B$3:$K$190,10,FALSE())*1.14265904837007</f>
        <v>44.762655955341863</v>
      </c>
    </row>
    <row r="16" spans="1:15" ht="13.5" thickBot="1">
      <c r="A16" s="584" t="str">
        <f>IF(VLOOKUP(C16,'BD  Materiales y equipos'!$B$3:$F$190,1,FALSE())=C16,"CORRECTO","NO LISTADO")</f>
        <v>CORRECTO</v>
      </c>
      <c r="B16" s="147" t="s">
        <v>411</v>
      </c>
      <c r="C16" s="147" t="s">
        <v>805</v>
      </c>
      <c r="D16" s="191" t="str">
        <f>VLOOKUP(C16,'BD  Materiales y equipos'!$B$3:$F$190,2,FALSE())</f>
        <v>Unidad</v>
      </c>
      <c r="E16" s="191" t="str">
        <f>VLOOKUP(C16,'BD  Materiales y equipos'!$B$3:$F$190,3,FALSE())</f>
        <v>XS</v>
      </c>
      <c r="F16" s="191">
        <f>VLOOKUP(C16,'BD  Materiales y equipos'!$B$3:$F$190,4,FALSE())</f>
        <v>0</v>
      </c>
      <c r="G16" s="133">
        <v>12</v>
      </c>
      <c r="H16" s="194">
        <f>VLOOKUP(C16,'BD  Materiales y equipos'!$B$3:$I$190,8,FALSE())*G16</f>
        <v>3.2306530962232327</v>
      </c>
      <c r="I16" s="194">
        <f t="shared" si="2"/>
        <v>549.3558401197472</v>
      </c>
      <c r="J16" s="194">
        <f t="shared" si="3"/>
        <v>181.30774499604718</v>
      </c>
      <c r="K16" s="191" t="str">
        <f>VLOOKUP(C16,'BD  Materiales y equipos'!$B$3:$L$190,11,FALSE())</f>
        <v>IMPORTADO</v>
      </c>
      <c r="L16" s="436">
        <f t="shared" si="0"/>
        <v>1</v>
      </c>
      <c r="M16" s="421">
        <f t="shared" si="1"/>
        <v>1</v>
      </c>
      <c r="N16" s="194">
        <f>VLOOKUP(C16,'BD  Materiales y equipos'!$B$3:$K$190,9,FALSE())*0.811905633063426</f>
        <v>170.04482491851786</v>
      </c>
      <c r="O16" s="194">
        <f>VLOOKUP(C16,'BD  Materiales y equipos'!$B$3:$K$190,10,FALSE())*1.14265904837007</f>
        <v>56.121081278582167</v>
      </c>
    </row>
    <row r="17" spans="1:15" ht="13.5" thickBot="1">
      <c r="A17" s="584" t="str">
        <f>IF(VLOOKUP(C17,'BD  Materiales y equipos'!$B$3:$F$190,1,FALSE())=C17,"CORRECTO","NO LISTADO")</f>
        <v>CORRECTO</v>
      </c>
      <c r="B17" s="147" t="s">
        <v>411</v>
      </c>
      <c r="C17" s="147" t="s">
        <v>719</v>
      </c>
      <c r="D17" s="191" t="str">
        <f>VLOOKUP(C17,'BD  Materiales y equipos'!$B$3:$F$190,2,FALSE())</f>
        <v>Unidad</v>
      </c>
      <c r="E17" s="191" t="str">
        <f>VLOOKUP(C17,'BD  Materiales y equipos'!$B$3:$F$190,3,FALSE())</f>
        <v>STD</v>
      </c>
      <c r="F17" s="191">
        <f>VLOOKUP(C17,'BD  Materiales y equipos'!$B$3:$F$190,4,FALSE())</f>
        <v>0</v>
      </c>
      <c r="G17" s="133">
        <v>8</v>
      </c>
      <c r="H17" s="194">
        <f>VLOOKUP(C17,'BD  Materiales y equipos'!$B$3:$I$190,8,FALSE())*G17</f>
        <v>6.4613061924464645</v>
      </c>
      <c r="I17" s="194">
        <f t="shared" si="2"/>
        <v>788.37381968061732</v>
      </c>
      <c r="J17" s="194">
        <f t="shared" si="3"/>
        <v>128.97445980584217</v>
      </c>
      <c r="K17" s="191" t="str">
        <f>VLOOKUP(C17,'BD  Materiales y equipos'!$B$3:$L$190,11,FALSE())</f>
        <v>IMPORTADO</v>
      </c>
      <c r="L17" s="436">
        <f t="shared" si="0"/>
        <v>1</v>
      </c>
      <c r="M17" s="421">
        <f t="shared" si="1"/>
        <v>1</v>
      </c>
      <c r="N17" s="194">
        <f>VLOOKUP(C17,'BD  Materiales y equipos'!$B$3:$K$190,9,FALSE())*0.811905633063426</f>
        <v>122.01461998539229</v>
      </c>
      <c r="O17" s="194">
        <f>VLOOKUP(C17,'BD  Materiales y equipos'!$B$3:$K$190,10,FALSE())*1.14265904837007</f>
        <v>19.961050593240525</v>
      </c>
    </row>
    <row r="18" spans="1:15" ht="13.5" thickBot="1">
      <c r="A18" s="584" t="str">
        <f>IF(VLOOKUP(C18,'BD  Materiales y equipos'!$B$3:$F$190,1,FALSE())=C18,"CORRECTO","NO LISTADO")</f>
        <v>CORRECTO</v>
      </c>
      <c r="B18" s="147" t="s">
        <v>411</v>
      </c>
      <c r="C18" s="147" t="s">
        <v>720</v>
      </c>
      <c r="D18" s="191" t="str">
        <f>VLOOKUP(C18,'BD  Materiales y equipos'!$B$3:$F$190,2,FALSE())</f>
        <v>Unidad</v>
      </c>
      <c r="E18" s="191" t="str">
        <f>VLOOKUP(C18,'BD  Materiales y equipos'!$B$3:$F$190,3,FALSE())</f>
        <v>STD</v>
      </c>
      <c r="F18" s="191">
        <f>VLOOKUP(C18,'BD  Materiales y equipos'!$B$3:$F$190,4,FALSE())</f>
        <v>0</v>
      </c>
      <c r="G18" s="133">
        <v>12</v>
      </c>
      <c r="H18" s="194">
        <f>VLOOKUP(C18,'BD  Materiales y equipos'!$B$3:$I$190,8,FALSE())*G18</f>
        <v>1.6153265481116164</v>
      </c>
      <c r="I18" s="194">
        <f t="shared" si="2"/>
        <v>399.00582071855268</v>
      </c>
      <c r="J18" s="194">
        <f t="shared" si="3"/>
        <v>80.508344288425889</v>
      </c>
      <c r="K18" s="191" t="str">
        <f>VLOOKUP(C18,'BD  Materiales y equipos'!$B$3:$L$190,11,FALSE())</f>
        <v>IMPORTADO</v>
      </c>
      <c r="L18" s="436">
        <f t="shared" si="0"/>
        <v>1</v>
      </c>
      <c r="M18" s="421">
        <f t="shared" si="1"/>
        <v>1</v>
      </c>
      <c r="N18" s="194">
        <f>VLOOKUP(C18,'BD  Materiales y equipos'!$B$3:$K$190,9,FALSE())*0.811905633063426</f>
        <v>247.01248251321505</v>
      </c>
      <c r="O18" s="194">
        <f>VLOOKUP(C18,'BD  Materiales y equipos'!$B$3:$K$190,10,FALSE())*1.14265904837007</f>
        <v>49.840290424585348</v>
      </c>
    </row>
    <row r="19" spans="1:15" ht="13.5" thickBot="1">
      <c r="A19" s="584" t="str">
        <f>IF(VLOOKUP(C19,'BD  Materiales y equipos'!$B$3:$F$190,1,FALSE())=C19,"CORRECTO","NO LISTADO")</f>
        <v>CORRECTO</v>
      </c>
      <c r="B19" s="147" t="s">
        <v>411</v>
      </c>
      <c r="C19" s="147" t="s">
        <v>806</v>
      </c>
      <c r="D19" s="191" t="str">
        <f>VLOOKUP(C19,'BD  Materiales y equipos'!$B$3:$F$190,2,FALSE())</f>
        <v>Unidad</v>
      </c>
      <c r="E19" s="191">
        <f>VLOOKUP(C19,'BD  Materiales y equipos'!$B$3:$F$190,3,FALSE())</f>
        <v>0</v>
      </c>
      <c r="F19" s="191" t="str">
        <f>VLOOKUP(C19,'BD  Materiales y equipos'!$B$3:$F$190,4,FALSE())</f>
        <v>900#</v>
      </c>
      <c r="G19" s="133">
        <v>6</v>
      </c>
      <c r="H19" s="194">
        <f>VLOOKUP(C19,'BD  Materiales y equipos'!$B$3:$I$190,8,FALSE())*G19</f>
        <v>300.45073794876066</v>
      </c>
      <c r="I19" s="194">
        <f t="shared" si="2"/>
        <v>2716.4200620658007</v>
      </c>
      <c r="J19" s="194">
        <f t="shared" si="3"/>
        <v>1902.5435151948361</v>
      </c>
      <c r="K19" s="191" t="str">
        <f>VLOOKUP(C19,'BD  Materiales y equipos'!$B$3:$L$190,11,FALSE())</f>
        <v>IMPORTADO</v>
      </c>
      <c r="L19" s="436">
        <f t="shared" si="0"/>
        <v>1</v>
      </c>
      <c r="M19" s="421">
        <f t="shared" si="1"/>
        <v>1</v>
      </c>
      <c r="N19" s="194">
        <f>VLOOKUP(C19,'BD  Materiales y equipos'!$B$3:$K$190,9,FALSE())*0.811905633063426</f>
        <v>9.0411495761713301</v>
      </c>
      <c r="O19" s="194">
        <f>VLOOKUP(C19,'BD  Materiales y equipos'!$B$3:$K$190,10,FALSE())*1.14265904837007</f>
        <v>6.3322976944037288</v>
      </c>
    </row>
    <row r="20" spans="1:15" ht="13.5" thickBot="1">
      <c r="A20" s="584" t="str">
        <f>IF(VLOOKUP(C20,'BD  Materiales y equipos'!$B$3:$F$190,1,FALSE())=C20,"CORRECTO","NO LISTADO")</f>
        <v>CORRECTO</v>
      </c>
      <c r="B20" s="147" t="s">
        <v>411</v>
      </c>
      <c r="C20" s="147" t="s">
        <v>808</v>
      </c>
      <c r="D20" s="191" t="str">
        <f>VLOOKUP(C20,'BD  Materiales y equipos'!$B$3:$F$190,2,FALSE())</f>
        <v>Unidad</v>
      </c>
      <c r="E20" s="191">
        <f>VLOOKUP(C20,'BD  Materiales y equipos'!$B$3:$F$190,3,FALSE())</f>
        <v>0</v>
      </c>
      <c r="F20" s="191" t="str">
        <f>VLOOKUP(C20,'BD  Materiales y equipos'!$B$3:$F$190,4,FALSE())</f>
        <v>900#</v>
      </c>
      <c r="G20" s="133">
        <v>3</v>
      </c>
      <c r="H20" s="194">
        <f>VLOOKUP(C20,'BD  Materiales y equipos'!$B$3:$I$190,8,FALSE())*G20</f>
        <v>75.516516124218072</v>
      </c>
      <c r="I20" s="194">
        <f t="shared" si="2"/>
        <v>494.42025610777199</v>
      </c>
      <c r="J20" s="194">
        <f t="shared" si="3"/>
        <v>478.19306094278812</v>
      </c>
      <c r="K20" s="191" t="str">
        <f>VLOOKUP(C20,'BD  Materiales y equipos'!$B$3:$L$190,11,FALSE())</f>
        <v>IMPORTADO</v>
      </c>
      <c r="L20" s="436">
        <f t="shared" si="0"/>
        <v>1</v>
      </c>
      <c r="M20" s="421">
        <f t="shared" si="1"/>
        <v>1</v>
      </c>
      <c r="N20" s="194">
        <f>VLOOKUP(C20,'BD  Materiales y equipos'!$B$3:$K$190,9,FALSE())*0.811905633063426</f>
        <v>6.5471804246701986</v>
      </c>
      <c r="O20" s="194">
        <f>VLOOKUP(C20,'BD  Materiales y equipos'!$B$3:$K$190,10,FALSE())*1.14265904837007</f>
        <v>6.3322976944037288</v>
      </c>
    </row>
    <row r="21" spans="1:15" ht="13.5" thickBot="1">
      <c r="A21" s="584" t="str">
        <f>IF(VLOOKUP(C21,'BD  Materiales y equipos'!$B$3:$F$190,1,FALSE())=C21,"CORRECTO","NO LISTADO")</f>
        <v>CORRECTO</v>
      </c>
      <c r="B21" s="147" t="s">
        <v>411</v>
      </c>
      <c r="C21" s="147" t="s">
        <v>834</v>
      </c>
      <c r="D21" s="191" t="str">
        <f>VLOOKUP(C21,'BD  Materiales y equipos'!$B$3:$F$190,2,FALSE())</f>
        <v>Unidad</v>
      </c>
      <c r="E21" s="191">
        <f>VLOOKUP(C21,'BD  Materiales y equipos'!$B$3:$F$190,3,FALSE())</f>
        <v>0</v>
      </c>
      <c r="F21" s="191" t="str">
        <f>VLOOKUP(C21,'BD  Materiales y equipos'!$B$3:$F$190,4,FALSE())</f>
        <v>900#</v>
      </c>
      <c r="G21" s="133">
        <v>6</v>
      </c>
      <c r="H21" s="194">
        <f>VLOOKUP(C21,'BD  Materiales y equipos'!$B$3:$I$190,8,FALSE())*G21</f>
        <v>88.842960146138893</v>
      </c>
      <c r="I21" s="194">
        <f t="shared" si="2"/>
        <v>1309.7799767065521</v>
      </c>
      <c r="J21" s="194">
        <f t="shared" si="3"/>
        <v>749.0902367033101</v>
      </c>
      <c r="K21" s="191" t="str">
        <f>VLOOKUP(C21,'BD  Materiales y equipos'!$B$3:$L$190,11,FALSE())</f>
        <v>IMPORTADO</v>
      </c>
      <c r="L21" s="436">
        <f t="shared" si="0"/>
        <v>1</v>
      </c>
      <c r="M21" s="421">
        <f t="shared" si="1"/>
        <v>1</v>
      </c>
      <c r="N21" s="194">
        <f>VLOOKUP(C21,'BD  Materiales y equipos'!$B$3:$K$190,9,FALSE())*0.811905633063426</f>
        <v>14.742642236954721</v>
      </c>
      <c r="O21" s="194">
        <f>VLOOKUP(C21,'BD  Materiales y equipos'!$B$3:$K$190,10,FALSE())*1.14265904837007</f>
        <v>8.4316217680176599</v>
      </c>
    </row>
    <row r="22" spans="1:15" ht="13.5" thickBot="1">
      <c r="A22" s="584" t="str">
        <f>IF(VLOOKUP(C22,'BD  Materiales y equipos'!$B$3:$F$190,1,FALSE())=C22,"CORRECTO","NO LISTADO")</f>
        <v>CORRECTO</v>
      </c>
      <c r="B22" s="147" t="s">
        <v>411</v>
      </c>
      <c r="C22" s="147" t="s">
        <v>773</v>
      </c>
      <c r="D22" s="191" t="str">
        <f>VLOOKUP(C22,'BD  Materiales y equipos'!$B$3:$F$190,2,FALSE())</f>
        <v>Unidad</v>
      </c>
      <c r="E22" s="191">
        <f>VLOOKUP(C22,'BD  Materiales y equipos'!$B$3:$F$190,3,FALSE())</f>
        <v>0</v>
      </c>
      <c r="F22" s="191" t="str">
        <f>VLOOKUP(C22,'BD  Materiales y equipos'!$B$3:$F$190,4,FALSE())</f>
        <v>300#</v>
      </c>
      <c r="G22" s="133">
        <v>10</v>
      </c>
      <c r="H22" s="194">
        <f>VLOOKUP(C22,'BD  Materiales y equipos'!$B$3:$I$190,8,FALSE())*G22</f>
        <v>55.190323727146897</v>
      </c>
      <c r="I22" s="194">
        <f t="shared" si="2"/>
        <v>1195.0898978043601</v>
      </c>
      <c r="J22" s="194">
        <f t="shared" si="3"/>
        <v>456.21954404093464</v>
      </c>
      <c r="K22" s="191" t="str">
        <f>VLOOKUP(C22,'BD  Materiales y equipos'!$B$3:$L$190,11,FALSE())</f>
        <v>IMPORTADO</v>
      </c>
      <c r="L22" s="436">
        <f t="shared" si="0"/>
        <v>1</v>
      </c>
      <c r="M22" s="421">
        <f t="shared" si="1"/>
        <v>1</v>
      </c>
      <c r="N22" s="194">
        <f>VLOOKUP(C22,'BD  Materiales y equipos'!$B$3:$K$190,9,FALSE())*0.811905633063426</f>
        <v>21.65397513724896</v>
      </c>
      <c r="O22" s="194">
        <f>VLOOKUP(C22,'BD  Materiales y equipos'!$B$3:$K$190,10,FALSE())*1.14265904837007</f>
        <v>8.2662958509977056</v>
      </c>
    </row>
    <row r="23" spans="1:15" ht="13.5" thickBot="1">
      <c r="A23" s="584" t="str">
        <f>IF(VLOOKUP(C23,'BD  Materiales y equipos'!$B$3:$F$190,1,FALSE())=C23,"CORRECTO","NO LISTADO")</f>
        <v>CORRECTO</v>
      </c>
      <c r="B23" s="147" t="s">
        <v>411</v>
      </c>
      <c r="C23" s="147" t="s">
        <v>835</v>
      </c>
      <c r="D23" s="191" t="str">
        <f>VLOOKUP(C23,'BD  Materiales y equipos'!$B$3:$F$190,2,FALSE())</f>
        <v>Unidad</v>
      </c>
      <c r="E23" s="191">
        <f>VLOOKUP(C23,'BD  Materiales y equipos'!$B$3:$F$190,3,FALSE())</f>
        <v>0</v>
      </c>
      <c r="F23" s="191" t="str">
        <f>VLOOKUP(C23,'BD  Materiales y equipos'!$B$3:$F$190,4,FALSE())</f>
        <v>150#</v>
      </c>
      <c r="G23" s="133">
        <v>16</v>
      </c>
      <c r="H23" s="194">
        <f>VLOOKUP(C23,'BD  Materiales y equipos'!$B$3:$I$190,8,FALSE())*G23</f>
        <v>86.150749232619532</v>
      </c>
      <c r="I23" s="194">
        <f t="shared" si="2"/>
        <v>2355.4836372853656</v>
      </c>
      <c r="J23" s="194">
        <f t="shared" si="3"/>
        <v>1156.2415957784442</v>
      </c>
      <c r="K23" s="191" t="str">
        <f>VLOOKUP(C23,'BD  Materiales y equipos'!$B$3:$L$190,11,FALSE())</f>
        <v>IMPORTADO</v>
      </c>
      <c r="L23" s="436">
        <f t="shared" si="0"/>
        <v>1</v>
      </c>
      <c r="M23" s="421">
        <f t="shared" si="1"/>
        <v>1</v>
      </c>
      <c r="N23" s="194">
        <f>VLOOKUP(C23,'BD  Materiales y equipos'!$B$3:$K$190,9,FALSE())*0.811905633063426</f>
        <v>27.341417901372139</v>
      </c>
      <c r="O23" s="194">
        <f>VLOOKUP(C23,'BD  Materiales y equipos'!$B$3:$K$190,10,FALSE())*1.14265904837007</f>
        <v>13.421143821470711</v>
      </c>
    </row>
    <row r="24" spans="1:15" ht="13.5" thickBot="1">
      <c r="A24" s="584" t="str">
        <f>IF(VLOOKUP(C24,'BD  Materiales y equipos'!$B$3:$F$190,1,FALSE())=C24,"CORRECTO","NO LISTADO")</f>
        <v>CORRECTO</v>
      </c>
      <c r="B24" s="147" t="s">
        <v>411</v>
      </c>
      <c r="C24" s="147" t="s">
        <v>809</v>
      </c>
      <c r="D24" s="191" t="str">
        <f>VLOOKUP(C24,'BD  Materiales y equipos'!$B$3:$F$190,2,FALSE())</f>
        <v>Unidad</v>
      </c>
      <c r="E24" s="191">
        <f>VLOOKUP(C24,'BD  Materiales y equipos'!$B$3:$F$190,3,FALSE())</f>
        <v>0</v>
      </c>
      <c r="F24" s="191" t="str">
        <f>VLOOKUP(C24,'BD  Materiales y equipos'!$B$3:$F$190,4,FALSE())</f>
        <v>900#</v>
      </c>
      <c r="G24" s="133">
        <v>8</v>
      </c>
      <c r="H24" s="194">
        <f>VLOOKUP(C24,'BD  Materiales y equipos'!$B$3:$I$190,8,FALSE())*G24</f>
        <v>54.921102635794952</v>
      </c>
      <c r="I24" s="194">
        <f t="shared" si="2"/>
        <v>1094.8565515368975</v>
      </c>
      <c r="J24" s="194">
        <f t="shared" si="3"/>
        <v>633.33283243431492</v>
      </c>
      <c r="K24" s="191" t="str">
        <f>VLOOKUP(C24,'BD  Materiales y equipos'!$B$3:$L$190,11,FALSE())</f>
        <v>IMPORTADO</v>
      </c>
      <c r="L24" s="436">
        <f t="shared" si="0"/>
        <v>1</v>
      </c>
      <c r="M24" s="421">
        <f t="shared" si="1"/>
        <v>1</v>
      </c>
      <c r="N24" s="194">
        <f>VLOOKUP(C24,'BD  Materiales y equipos'!$B$3:$K$190,9,FALSE())*0.811905633063426</f>
        <v>19.935079577650765</v>
      </c>
      <c r="O24" s="194">
        <f>VLOOKUP(C24,'BD  Materiales y equipos'!$B$3:$K$190,10,FALSE())*1.14265904837007</f>
        <v>11.531684580956297</v>
      </c>
    </row>
    <row r="25" spans="1:15" ht="13.5" thickBot="1">
      <c r="A25" s="584" t="str">
        <f>IF(VLOOKUP(C25,'BD  Materiales y equipos'!$B$3:$F$190,1,FALSE())=C25,"CORRECTO","NO LISTADO")</f>
        <v>CORRECTO</v>
      </c>
      <c r="B25" s="147" t="s">
        <v>411</v>
      </c>
      <c r="C25" s="147" t="s">
        <v>810</v>
      </c>
      <c r="D25" s="191" t="str">
        <f>VLOOKUP(C25,'BD  Materiales y equipos'!$B$3:$F$190,2,FALSE())</f>
        <v>Unidad</v>
      </c>
      <c r="E25" s="191">
        <f>VLOOKUP(C25,'BD  Materiales y equipos'!$B$3:$F$190,3,FALSE())</f>
        <v>0</v>
      </c>
      <c r="F25" s="191" t="str">
        <f>VLOOKUP(C25,'BD  Materiales y equipos'!$B$3:$F$190,4,FALSE())</f>
        <v>900#</v>
      </c>
      <c r="G25" s="133">
        <v>12</v>
      </c>
      <c r="H25" s="194">
        <f>VLOOKUP(C25,'BD  Materiales y equipos'!$B$3:$I$190,8,FALSE())*G25</f>
        <v>24.229898221674247</v>
      </c>
      <c r="I25" s="194">
        <f t="shared" si="2"/>
        <v>711.27124562872405</v>
      </c>
      <c r="J25" s="194">
        <f t="shared" si="3"/>
        <v>336.13684463981991</v>
      </c>
      <c r="K25" s="191" t="str">
        <f>VLOOKUP(C25,'BD  Materiales y equipos'!$B$3:$L$190,11,FALSE())</f>
        <v>IMPORTADO</v>
      </c>
      <c r="L25" s="436">
        <f t="shared" si="0"/>
        <v>1</v>
      </c>
      <c r="M25" s="421">
        <f t="shared" si="1"/>
        <v>1</v>
      </c>
      <c r="N25" s="194">
        <f>VLOOKUP(C25,'BD  Materiales y equipos'!$B$3:$K$190,9,FALSE())*0.811905633063426</f>
        <v>29.355106617512501</v>
      </c>
      <c r="O25" s="194">
        <f>VLOOKUP(C25,'BD  Materiales y equipos'!$B$3:$K$190,10,FALSE())*1.14265904837007</f>
        <v>13.872812901010748</v>
      </c>
    </row>
    <row r="26" spans="1:15" ht="13.5" thickBot="1">
      <c r="A26" s="584" t="str">
        <f>IF(VLOOKUP(C26,'BD  Materiales y equipos'!$B$3:$F$190,1,FALSE())=C26,"CORRECTO","NO LISTADO")</f>
        <v>CORRECTO</v>
      </c>
      <c r="B26" s="147" t="s">
        <v>411</v>
      </c>
      <c r="C26" s="147" t="s">
        <v>724</v>
      </c>
      <c r="D26" s="191" t="str">
        <f>VLOOKUP(C26,'BD  Materiales y equipos'!$B$3:$F$190,2,FALSE())</f>
        <v>Unidad</v>
      </c>
      <c r="E26" s="191">
        <f>VLOOKUP(C26,'BD  Materiales y equipos'!$B$3:$F$190,3,FALSE())</f>
        <v>0</v>
      </c>
      <c r="F26" s="191" t="str">
        <f>VLOOKUP(C26,'BD  Materiales y equipos'!$B$3:$F$190,4,FALSE())</f>
        <v>150#</v>
      </c>
      <c r="G26" s="133">
        <v>12</v>
      </c>
      <c r="H26" s="194">
        <f>VLOOKUP(C26,'BD  Materiales y equipos'!$B$3:$I$190,8,FALSE())*G26</f>
        <v>25.845224769785862</v>
      </c>
      <c r="I26" s="194">
        <f t="shared" si="2"/>
        <v>745.96740395207667</v>
      </c>
      <c r="J26" s="194">
        <f t="shared" si="3"/>
        <v>609.40733518675563</v>
      </c>
      <c r="K26" s="191" t="str">
        <f>VLOOKUP(C26,'BD  Materiales y equipos'!$B$3:$L$190,11,FALSE())</f>
        <v>IMPORTADO</v>
      </c>
      <c r="L26" s="436">
        <f t="shared" si="0"/>
        <v>1</v>
      </c>
      <c r="M26" s="421">
        <f t="shared" si="1"/>
        <v>1</v>
      </c>
      <c r="N26" s="194">
        <f>VLOOKUP(C26,'BD  Materiales y equipos'!$B$3:$K$190,9,FALSE())*0.811905633063426</f>
        <v>28.862871598011537</v>
      </c>
      <c r="O26" s="194">
        <f>VLOOKUP(C26,'BD  Materiales y equipos'!$B$3:$K$190,10,FALSE())*1.14265904837007</f>
        <v>23.579107576544587</v>
      </c>
    </row>
    <row r="27" spans="1:15" ht="13.5" thickBot="1">
      <c r="A27" s="584" t="str">
        <f>IF(VLOOKUP(C27,'BD  Materiales y equipos'!$B$3:$F$190,1,FALSE())=C27,"CORRECTO","NO LISTADO")</f>
        <v>CORRECTO</v>
      </c>
      <c r="B27" s="147" t="s">
        <v>411</v>
      </c>
      <c r="C27" s="147" t="s">
        <v>725</v>
      </c>
      <c r="D27" s="191" t="str">
        <f>VLOOKUP(C27,'BD  Materiales y equipos'!$B$3:$F$190,2,FALSE())</f>
        <v>Unidad</v>
      </c>
      <c r="E27" s="191">
        <f>VLOOKUP(C27,'BD  Materiales y equipos'!$B$3:$F$190,3,FALSE())</f>
        <v>0</v>
      </c>
      <c r="F27" s="191" t="str">
        <f>VLOOKUP(C27,'BD  Materiales y equipos'!$B$3:$F$190,4,FALSE())</f>
        <v>150#</v>
      </c>
      <c r="G27" s="133">
        <v>16</v>
      </c>
      <c r="H27" s="194">
        <f>VLOOKUP(C27,'BD  Materiales y equipos'!$B$3:$I$190,8,FALSE())*G27</f>
        <v>13.999496750300674</v>
      </c>
      <c r="I27" s="194">
        <f t="shared" si="2"/>
        <v>462.61544431136502</v>
      </c>
      <c r="J27" s="194">
        <f t="shared" si="3"/>
        <v>591.53138668794395</v>
      </c>
      <c r="K27" s="191" t="str">
        <f>VLOOKUP(C27,'BD  Materiales y equipos'!$B$3:$L$190,11,FALSE())</f>
        <v>IMPORTADO</v>
      </c>
      <c r="L27" s="436">
        <f t="shared" si="0"/>
        <v>1</v>
      </c>
      <c r="M27" s="421">
        <f t="shared" si="1"/>
        <v>1</v>
      </c>
      <c r="N27" s="194">
        <f>VLOOKUP(C27,'BD  Materiales y equipos'!$B$3:$K$190,9,FALSE())*0.811905633063426</f>
        <v>33.045148162302993</v>
      </c>
      <c r="O27" s="194">
        <f>VLOOKUP(C27,'BD  Materiales y equipos'!$B$3:$K$190,10,FALSE())*1.14265904837007</f>
        <v>42.253760777167891</v>
      </c>
    </row>
    <row r="28" spans="1:15" ht="13.5" thickBot="1">
      <c r="A28" s="584" t="str">
        <f>IF(VLOOKUP(C28,'BD  Materiales y equipos'!$B$3:$F$190,1,FALSE())=C28,"CORRECTO","NO LISTADO")</f>
        <v>CORRECTO</v>
      </c>
      <c r="B28" s="147" t="s">
        <v>411</v>
      </c>
      <c r="C28" s="147" t="s">
        <v>813</v>
      </c>
      <c r="D28" s="191" t="str">
        <f>VLOOKUP(C28,'BD  Materiales y equipos'!$B$3:$F$190,2,FALSE())</f>
        <v>Unidad</v>
      </c>
      <c r="E28" s="191" t="str">
        <f>VLOOKUP(C28,'BD  Materiales y equipos'!$B$3:$F$190,3,FALSE())</f>
        <v>XS</v>
      </c>
      <c r="F28" s="191">
        <f>VLOOKUP(C28,'BD  Materiales y equipos'!$B$3:$F$190,4,FALSE())</f>
        <v>0</v>
      </c>
      <c r="G28" s="133">
        <v>1</v>
      </c>
      <c r="H28" s="194">
        <f>VLOOKUP(C28,'BD  Materiales y equipos'!$B$3:$I$190,8,FALSE())*G28</f>
        <v>21.133855671126977</v>
      </c>
      <c r="I28" s="194">
        <f t="shared" si="2"/>
        <v>299.97720217065023</v>
      </c>
      <c r="J28" s="194">
        <f t="shared" si="3"/>
        <v>244.74194773627991</v>
      </c>
      <c r="K28" s="191" t="str">
        <f>VLOOKUP(C28,'BD  Materiales y equipos'!$B$3:$L$190,11,FALSE())</f>
        <v>IMPORTADO</v>
      </c>
      <c r="L28" s="436">
        <f t="shared" si="0"/>
        <v>1</v>
      </c>
      <c r="M28" s="421">
        <f t="shared" si="1"/>
        <v>1</v>
      </c>
      <c r="N28" s="194">
        <f>VLOOKUP(C28,'BD  Materiales y equipos'!$B$3:$K$190,9,FALSE())*0.811905633063426</f>
        <v>14.194154007613404</v>
      </c>
      <c r="O28" s="194">
        <f>VLOOKUP(C28,'BD  Materiales y equipos'!$B$3:$K$190,10,FALSE())*1.14265904837007</f>
        <v>11.580563033306117</v>
      </c>
    </row>
    <row r="29" spans="1:15" ht="13.5" thickBot="1">
      <c r="A29" s="584" t="str">
        <f>IF(VLOOKUP(C29,'BD  Materiales y equipos'!$B$3:$F$190,1,FALSE())=C29,"CORRECTO","NO LISTADO")</f>
        <v>CORRECTO</v>
      </c>
      <c r="B29" s="147" t="s">
        <v>411</v>
      </c>
      <c r="C29" s="147" t="s">
        <v>815</v>
      </c>
      <c r="D29" s="191" t="str">
        <f>VLOOKUP(C29,'BD  Materiales y equipos'!$B$3:$F$190,2,FALSE())</f>
        <v>Unidad</v>
      </c>
      <c r="E29" s="191" t="str">
        <f>VLOOKUP(C29,'BD  Materiales y equipos'!$B$3:$F$190,3,FALSE())</f>
        <v>XS</v>
      </c>
      <c r="F29" s="191">
        <f>VLOOKUP(C29,'BD  Materiales y equipos'!$B$3:$F$190,4,FALSE())</f>
        <v>0</v>
      </c>
      <c r="G29" s="133">
        <v>1</v>
      </c>
      <c r="H29" s="194">
        <f>VLOOKUP(C29,'BD  Materiales y equipos'!$B$3:$I$190,8,FALSE())*G29</f>
        <v>22.210740036534723</v>
      </c>
      <c r="I29" s="194">
        <f t="shared" si="2"/>
        <v>252.26998447604089</v>
      </c>
      <c r="J29" s="194">
        <f t="shared" si="3"/>
        <v>257.21287500946619</v>
      </c>
      <c r="K29" s="191" t="str">
        <f>VLOOKUP(C29,'BD  Materiales y equipos'!$B$3:$L$190,11,FALSE())</f>
        <v>IMPORTADO</v>
      </c>
      <c r="L29" s="436">
        <f t="shared" si="0"/>
        <v>1</v>
      </c>
      <c r="M29" s="421">
        <f t="shared" si="1"/>
        <v>1</v>
      </c>
      <c r="N29" s="194">
        <f>VLOOKUP(C29,'BD  Materiales y equipos'!$B$3:$K$190,9,FALSE())*0.811905633063426</f>
        <v>11.358017970633975</v>
      </c>
      <c r="O29" s="194">
        <f>VLOOKUP(C29,'BD  Materiales y equipos'!$B$3:$K$190,10,FALSE())*1.14265904837007</f>
        <v>11.580563033306117</v>
      </c>
    </row>
    <row r="30" spans="1:15" ht="13.5" thickBot="1">
      <c r="A30" s="584" t="str">
        <f>IF(VLOOKUP(C30,'BD  Materiales y equipos'!$B$3:$F$190,1,FALSE())=C30,"CORRECTO","NO LISTADO")</f>
        <v>CORRECTO</v>
      </c>
      <c r="B30" s="147" t="s">
        <v>411</v>
      </c>
      <c r="C30" s="147" t="s">
        <v>836</v>
      </c>
      <c r="D30" s="191" t="str">
        <f>VLOOKUP(C30,'BD  Materiales y equipos'!$B$3:$F$190,2,FALSE())</f>
        <v>Unidad</v>
      </c>
      <c r="E30" s="191" t="str">
        <f>VLOOKUP(C30,'BD  Materiales y equipos'!$B$3:$F$190,3,FALSE())</f>
        <v>XS</v>
      </c>
      <c r="F30" s="191">
        <f>VLOOKUP(C30,'BD  Materiales y equipos'!$B$3:$F$190,4,FALSE())</f>
        <v>0</v>
      </c>
      <c r="G30" s="133">
        <v>1</v>
      </c>
      <c r="H30" s="194">
        <f>VLOOKUP(C30,'BD  Materiales y equipos'!$B$3:$I$190,8,FALSE())*G30</f>
        <v>22.210740036534723</v>
      </c>
      <c r="I30" s="194">
        <f t="shared" si="2"/>
        <v>252.26998447604089</v>
      </c>
      <c r="J30" s="194">
        <f t="shared" si="3"/>
        <v>257.21287500946619</v>
      </c>
      <c r="K30" s="191" t="str">
        <f>VLOOKUP(C30,'BD  Materiales y equipos'!$B$3:$L$190,11,FALSE())</f>
        <v>IMPORTADO</v>
      </c>
      <c r="L30" s="436">
        <f t="shared" si="0"/>
        <v>1</v>
      </c>
      <c r="M30" s="421">
        <f t="shared" si="1"/>
        <v>1</v>
      </c>
      <c r="N30" s="194">
        <f>VLOOKUP(C30,'BD  Materiales y equipos'!$B$3:$K$190,9,FALSE())*0.811905633063426</f>
        <v>11.358017970633975</v>
      </c>
      <c r="O30" s="194">
        <f>VLOOKUP(C30,'BD  Materiales y equipos'!$B$3:$K$190,10,FALSE())*1.14265904837007</f>
        <v>11.580563033306117</v>
      </c>
    </row>
    <row r="31" spans="1:15" ht="13.5" thickBot="1">
      <c r="A31" s="584" t="str">
        <f>IF(VLOOKUP(C31,'BD  Materiales y equipos'!$B$3:$F$190,1,FALSE())=C31,"CORRECTO","NO LISTADO")</f>
        <v>CORRECTO</v>
      </c>
      <c r="B31" s="147" t="s">
        <v>411</v>
      </c>
      <c r="C31" s="147" t="s">
        <v>787</v>
      </c>
      <c r="D31" s="191" t="str">
        <f>VLOOKUP(C31,'BD  Materiales y equipos'!$B$3:$F$190,2,FALSE())</f>
        <v>Unidad</v>
      </c>
      <c r="E31" s="191" t="str">
        <f>VLOOKUP(C31,'BD  Materiales y equipos'!$B$3:$F$190,3,FALSE())</f>
        <v>STD</v>
      </c>
      <c r="F31" s="191">
        <f>VLOOKUP(C31,'BD  Materiales y equipos'!$B$3:$F$190,4,FALSE())</f>
        <v>0</v>
      </c>
      <c r="G31" s="133">
        <v>4</v>
      </c>
      <c r="H31" s="194">
        <f>VLOOKUP(C31,'BD  Materiales y equipos'!$B$3:$I$190,8,FALSE())*G31</f>
        <v>29.075877866009094</v>
      </c>
      <c r="I31" s="194">
        <f t="shared" si="2"/>
        <v>1094.8565515368985</v>
      </c>
      <c r="J31" s="194">
        <f t="shared" si="3"/>
        <v>363.65223928610942</v>
      </c>
      <c r="K31" s="191" t="str">
        <f>VLOOKUP(C31,'BD  Materiales y equipos'!$B$3:$L$190,11,FALSE())</f>
        <v>IMPORTADO</v>
      </c>
      <c r="L31" s="436">
        <f t="shared" si="0"/>
        <v>1</v>
      </c>
      <c r="M31" s="421">
        <f t="shared" si="1"/>
        <v>1</v>
      </c>
      <c r="N31" s="194">
        <f>VLOOKUP(C31,'BD  Materiales y equipos'!$B$3:$K$190,9,FALSE())*0.811905633063426</f>
        <v>37.655150313340364</v>
      </c>
      <c r="O31" s="194">
        <f>VLOOKUP(C31,'BD  Materiales y equipos'!$B$3:$K$190,10,FALSE())*1.14265904837007</f>
        <v>12.50700807597056</v>
      </c>
    </row>
    <row r="32" spans="1:15" ht="13.5" thickBot="1">
      <c r="A32" s="584" t="str">
        <f>IF(VLOOKUP(C32,'BD  Materiales y equipos'!$B$3:$F$190,1,FALSE())=C32,"CORRECTO","NO LISTADO")</f>
        <v>CORRECTO</v>
      </c>
      <c r="B32" s="147" t="s">
        <v>411</v>
      </c>
      <c r="C32" s="147" t="s">
        <v>816</v>
      </c>
      <c r="D32" s="191" t="str">
        <f>VLOOKUP(C32,'BD  Materiales y equipos'!$B$3:$F$190,2,FALSE())</f>
        <v>Junta</v>
      </c>
      <c r="E32" s="191">
        <f>VLOOKUP(C32,'BD  Materiales y equipos'!$B$3:$F$190,3,FALSE())</f>
        <v>0</v>
      </c>
      <c r="F32" s="191" t="str">
        <f>VLOOKUP(C32,'BD  Materiales y equipos'!$B$3:$F$190,4,FALSE())</f>
        <v>900#</v>
      </c>
      <c r="G32" s="133">
        <v>6</v>
      </c>
      <c r="H32" s="194">
        <f>VLOOKUP(C32,'BD  Materiales y equipos'!$B$3:$I$190,8,FALSE())*G32</f>
        <v>121.14949110837122</v>
      </c>
      <c r="I32" s="194">
        <f t="shared" si="2"/>
        <v>14.162402672199745</v>
      </c>
      <c r="J32" s="194">
        <f t="shared" si="3"/>
        <v>0</v>
      </c>
      <c r="K32" s="191" t="str">
        <f>VLOOKUP(C32,'BD  Materiales y equipos'!$B$3:$L$190,11,FALSE())</f>
        <v>IMPORTADO</v>
      </c>
      <c r="L32" s="436">
        <f t="shared" si="0"/>
        <v>1</v>
      </c>
      <c r="M32" s="421">
        <f t="shared" ref="M32:M57" si="4">(0.65*ipc/ipc_base*trm_base/trm+0.35*fac_mano_obra)</f>
        <v>1</v>
      </c>
      <c r="N32" s="194">
        <f>VLOOKUP(C32,'BD  Materiales y equipos'!$B$3:$K$190,9,FALSE())*0.811905633063426</f>
        <v>0.11690022419930039</v>
      </c>
      <c r="O32" s="194">
        <f>VLOOKUP(C32,'BD  Materiales y equipos'!$B$3:$K$190,10,FALSE())*1.14265904837007</f>
        <v>0</v>
      </c>
    </row>
    <row r="33" spans="1:15" ht="13.5" thickBot="1">
      <c r="A33" s="584" t="str">
        <f>IF(VLOOKUP(C33,'BD  Materiales y equipos'!$B$3:$F$190,1,FALSE())=C33,"CORRECTO","NO LISTADO")</f>
        <v>CORRECTO</v>
      </c>
      <c r="B33" s="147" t="s">
        <v>411</v>
      </c>
      <c r="C33" s="147" t="s">
        <v>818</v>
      </c>
      <c r="D33" s="191" t="str">
        <f>VLOOKUP(C33,'BD  Materiales y equipos'!$B$3:$F$190,2,FALSE())</f>
        <v>Junta</v>
      </c>
      <c r="E33" s="191">
        <f>VLOOKUP(C33,'BD  Materiales y equipos'!$B$3:$F$190,3,FALSE())</f>
        <v>0</v>
      </c>
      <c r="F33" s="191" t="str">
        <f>VLOOKUP(C33,'BD  Materiales y equipos'!$B$3:$F$190,4,FALSE())</f>
        <v>900#</v>
      </c>
      <c r="G33" s="133">
        <v>2</v>
      </c>
      <c r="H33" s="194">
        <f>VLOOKUP(C33,'BD  Materiales y equipos'!$B$3:$I$190,8,FALSE())*G33</f>
        <v>21.537687308154883</v>
      </c>
      <c r="I33" s="194">
        <f t="shared" si="2"/>
        <v>4.3402745446346147</v>
      </c>
      <c r="J33" s="194">
        <f t="shared" si="3"/>
        <v>0</v>
      </c>
      <c r="K33" s="191" t="str">
        <f>VLOOKUP(C33,'BD  Materiales y equipos'!$B$3:$L$190,11,FALSE())</f>
        <v>IMPORTADO</v>
      </c>
      <c r="L33" s="436">
        <f t="shared" si="0"/>
        <v>1</v>
      </c>
      <c r="M33" s="421">
        <f t="shared" si="4"/>
        <v>1</v>
      </c>
      <c r="N33" s="194">
        <f>VLOOKUP(C33,'BD  Materiales y equipos'!$B$3:$K$190,9,FALSE())*0.811905633063426</f>
        <v>0.20151999063479964</v>
      </c>
      <c r="O33" s="194">
        <f>VLOOKUP(C33,'BD  Materiales y equipos'!$B$3:$K$190,10,FALSE())*1.14265904837007</f>
        <v>0</v>
      </c>
    </row>
    <row r="34" spans="1:15" ht="13.5" thickBot="1">
      <c r="A34" s="584" t="str">
        <f>IF(VLOOKUP(C34,'BD  Materiales y equipos'!$B$3:$F$190,1,FALSE())=C34,"CORRECTO","NO LISTADO")</f>
        <v>CORRECTO</v>
      </c>
      <c r="B34" s="147" t="s">
        <v>411</v>
      </c>
      <c r="C34" s="147" t="s">
        <v>837</v>
      </c>
      <c r="D34" s="191" t="str">
        <f>VLOOKUP(C34,'BD  Materiales y equipos'!$B$3:$F$190,2,FALSE())</f>
        <v>Junta</v>
      </c>
      <c r="E34" s="191">
        <f>VLOOKUP(C34,'BD  Materiales y equipos'!$B$3:$F$190,3,FALSE())</f>
        <v>0</v>
      </c>
      <c r="F34" s="191" t="str">
        <f>VLOOKUP(C34,'BD  Materiales y equipos'!$B$3:$F$190,4,FALSE())</f>
        <v>900#</v>
      </c>
      <c r="G34" s="133">
        <v>6</v>
      </c>
      <c r="H34" s="194">
        <f>VLOOKUP(C34,'BD  Materiales y equipos'!$B$3:$I$190,8,FALSE())*G34</f>
        <v>40.383163702790405</v>
      </c>
      <c r="I34" s="194">
        <f t="shared" si="2"/>
        <v>15.225353500890945</v>
      </c>
      <c r="J34" s="194">
        <f t="shared" si="3"/>
        <v>0</v>
      </c>
      <c r="K34" s="191" t="str">
        <f>VLOOKUP(C34,'BD  Materiales y equipos'!$B$3:$L$190,11,FALSE())</f>
        <v>IMPORTADO</v>
      </c>
      <c r="L34" s="436">
        <f t="shared" ref="L34:L56" si="5">+acero/acero_base</f>
        <v>1</v>
      </c>
      <c r="M34" s="421">
        <f t="shared" si="4"/>
        <v>1</v>
      </c>
      <c r="N34" s="194">
        <f>VLOOKUP(C34,'BD  Materiales y equipos'!$B$3:$K$190,9,FALSE())*0.811905633063426</f>
        <v>0.37702230595268837</v>
      </c>
      <c r="O34" s="194">
        <f>VLOOKUP(C34,'BD  Materiales y equipos'!$B$3:$K$190,10,FALSE())*1.14265904837007</f>
        <v>0</v>
      </c>
    </row>
    <row r="35" spans="1:15" ht="13.5" thickBot="1">
      <c r="A35" s="584" t="str">
        <f>IF(VLOOKUP(C35,'BD  Materiales y equipos'!$B$3:$F$190,1,FALSE())=C35,"CORRECTO","NO LISTADO")</f>
        <v>CORRECTO</v>
      </c>
      <c r="B35" s="147" t="s">
        <v>411</v>
      </c>
      <c r="C35" s="147" t="s">
        <v>838</v>
      </c>
      <c r="D35" s="191" t="str">
        <f>VLOOKUP(C35,'BD  Materiales y equipos'!$B$3:$F$190,2,FALSE())</f>
        <v>Junta</v>
      </c>
      <c r="E35" s="191">
        <f>VLOOKUP(C35,'BD  Materiales y equipos'!$B$3:$F$190,3,FALSE())</f>
        <v>0</v>
      </c>
      <c r="F35" s="191" t="str">
        <f>VLOOKUP(C35,'BD  Materiales y equipos'!$B$3:$F$190,4,FALSE())</f>
        <v>300#</v>
      </c>
      <c r="G35" s="133">
        <v>5</v>
      </c>
      <c r="H35" s="194">
        <f>VLOOKUP(C35,'BD  Materiales y equipos'!$B$3:$I$190,8,FALSE())*G35</f>
        <v>7.7401063763681606</v>
      </c>
      <c r="I35" s="194">
        <f t="shared" si="2"/>
        <v>4.2572568391595098</v>
      </c>
      <c r="J35" s="194">
        <f t="shared" si="3"/>
        <v>0</v>
      </c>
      <c r="K35" s="191" t="str">
        <f>VLOOKUP(C35,'BD  Materiales y equipos'!$B$3:$L$190,11,FALSE())</f>
        <v>IMPORTADO</v>
      </c>
      <c r="L35" s="436">
        <f t="shared" si="5"/>
        <v>1</v>
      </c>
      <c r="M35" s="421">
        <f t="shared" si="4"/>
        <v>1</v>
      </c>
      <c r="N35" s="194">
        <f>VLOOKUP(C35,'BD  Materiales y equipos'!$B$3:$K$190,9,FALSE())*0.811905633063426</f>
        <v>0.5500256239575243</v>
      </c>
      <c r="O35" s="194">
        <f>VLOOKUP(C35,'BD  Materiales y equipos'!$B$3:$K$190,10,FALSE())*1.14265904837007</f>
        <v>0</v>
      </c>
    </row>
    <row r="36" spans="1:15" ht="13.5" thickBot="1">
      <c r="A36" s="584" t="str">
        <f>IF(VLOOKUP(C36,'BD  Materiales y equipos'!$B$3:$F$190,1,FALSE())=C36,"CORRECTO","NO LISTADO")</f>
        <v>CORRECTO</v>
      </c>
      <c r="B36" s="147" t="s">
        <v>411</v>
      </c>
      <c r="C36" s="147" t="s">
        <v>899</v>
      </c>
      <c r="D36" s="191" t="str">
        <f>VLOOKUP(C36,'BD  Materiales y equipos'!$B$3:$F$190,2,FALSE())</f>
        <v>Junta</v>
      </c>
      <c r="E36" s="191">
        <f>VLOOKUP(C36,'BD  Materiales y equipos'!$B$3:$F$190,3,FALSE())</f>
        <v>0</v>
      </c>
      <c r="F36" s="191" t="str">
        <f>VLOOKUP(C36,'BD  Materiales y equipos'!$B$3:$F$190,4,FALSE())</f>
        <v>150#</v>
      </c>
      <c r="G36" s="133">
        <v>12</v>
      </c>
      <c r="H36" s="194">
        <f>VLOOKUP(C36,'BD  Materiales y equipos'!$B$3:$I$190,8,FALSE())*G36</f>
        <v>10.505497076437305</v>
      </c>
      <c r="I36" s="194">
        <f t="shared" si="2"/>
        <v>23.174461768441059</v>
      </c>
      <c r="J36" s="194">
        <f t="shared" si="3"/>
        <v>0</v>
      </c>
      <c r="K36" s="191" t="str">
        <f>VLOOKUP(C36,'BD  Materiales y equipos'!$B$3:$L$190,11,FALSE())</f>
        <v>IMPORTADO</v>
      </c>
      <c r="L36" s="436">
        <f t="shared" si="5"/>
        <v>1</v>
      </c>
      <c r="M36" s="421">
        <f t="shared" si="4"/>
        <v>1</v>
      </c>
      <c r="N36" s="194">
        <f>VLOOKUP(C36,'BD  Materiales y equipos'!$B$3:$K$190,9,FALSE())*0.811905633063426</f>
        <v>2.2059367205402278</v>
      </c>
      <c r="O36" s="194">
        <f>VLOOKUP(C36,'BD  Materiales y equipos'!$B$3:$K$190,10,FALSE())*1.14265904837007</f>
        <v>0</v>
      </c>
    </row>
    <row r="37" spans="1:15" ht="13.5" thickBot="1">
      <c r="A37" s="584" t="str">
        <f>IF(VLOOKUP(C37,'BD  Materiales y equipos'!$B$3:$F$190,1,FALSE())=C37,"CORRECTO","NO LISTADO")</f>
        <v>CORRECTO</v>
      </c>
      <c r="B37" s="147" t="s">
        <v>411</v>
      </c>
      <c r="C37" s="147" t="s">
        <v>840</v>
      </c>
      <c r="D37" s="191" t="str">
        <f>VLOOKUP(C37,'BD  Materiales y equipos'!$B$3:$F$190,2,FALSE())</f>
        <v>Junta</v>
      </c>
      <c r="E37" s="191">
        <f>VLOOKUP(C37,'BD  Materiales y equipos'!$B$3:$F$190,3,FALSE())</f>
        <v>0</v>
      </c>
      <c r="F37" s="191" t="str">
        <f>VLOOKUP(C37,'BD  Materiales y equipos'!$B$3:$F$190,4,FALSE())</f>
        <v>900#</v>
      </c>
      <c r="G37" s="133">
        <v>6</v>
      </c>
      <c r="H37" s="194">
        <f>VLOOKUP(C37,'BD  Materiales y equipos'!$B$3:$I$190,8,FALSE())*G37</f>
        <v>20.191581851395203</v>
      </c>
      <c r="I37" s="194">
        <f t="shared" si="2"/>
        <v>7.6126767504454724</v>
      </c>
      <c r="J37" s="194">
        <f t="shared" si="3"/>
        <v>0</v>
      </c>
      <c r="K37" s="191" t="str">
        <f>VLOOKUP(C37,'BD  Materiales y equipos'!$B$3:$L$190,11,FALSE())</f>
        <v>IMPORTADO</v>
      </c>
      <c r="L37" s="436">
        <f t="shared" si="5"/>
        <v>1</v>
      </c>
      <c r="M37" s="421">
        <f t="shared" si="4"/>
        <v>1</v>
      </c>
      <c r="N37" s="194">
        <f>VLOOKUP(C37,'BD  Materiales y equipos'!$B$3:$K$190,9,FALSE())*0.811905633063426</f>
        <v>0.37702230595268837</v>
      </c>
      <c r="O37" s="194">
        <f>VLOOKUP(C37,'BD  Materiales y equipos'!$B$3:$K$190,10,FALSE())*1.14265904837007</f>
        <v>0</v>
      </c>
    </row>
    <row r="38" spans="1:15" ht="13.5" thickBot="1">
      <c r="A38" s="584" t="str">
        <f>IF(VLOOKUP(C38,'BD  Materiales y equipos'!$B$3:$F$190,1,FALSE())=C38,"CORRECTO","NO LISTADO")</f>
        <v>CORRECTO</v>
      </c>
      <c r="B38" s="147" t="s">
        <v>411</v>
      </c>
      <c r="C38" s="147" t="s">
        <v>841</v>
      </c>
      <c r="D38" s="191" t="str">
        <f>VLOOKUP(C38,'BD  Materiales y equipos'!$B$3:$F$190,2,FALSE())</f>
        <v>Junta</v>
      </c>
      <c r="E38" s="191">
        <f>VLOOKUP(C38,'BD  Materiales y equipos'!$B$3:$F$190,3,FALSE())</f>
        <v>0</v>
      </c>
      <c r="F38" s="191" t="str">
        <f>VLOOKUP(C38,'BD  Materiales y equipos'!$B$3:$F$190,4,FALSE())</f>
        <v>900#</v>
      </c>
      <c r="G38" s="133">
        <v>8</v>
      </c>
      <c r="H38" s="194">
        <f>VLOOKUP(C38,'BD  Materiales y equipos'!$B$3:$I$190,8,FALSE())*G38</f>
        <v>10.768843654077441</v>
      </c>
      <c r="I38" s="194">
        <f t="shared" si="2"/>
        <v>4.3295705526985602</v>
      </c>
      <c r="J38" s="194">
        <f t="shared" si="3"/>
        <v>0</v>
      </c>
      <c r="K38" s="191" t="str">
        <f>VLOOKUP(C38,'BD  Materiales y equipos'!$B$3:$L$190,11,FALSE())</f>
        <v>IMPORTADO</v>
      </c>
      <c r="L38" s="436">
        <f t="shared" si="5"/>
        <v>1</v>
      </c>
      <c r="M38" s="421">
        <f t="shared" si="4"/>
        <v>1</v>
      </c>
      <c r="N38" s="194">
        <f>VLOOKUP(C38,'BD  Materiales y equipos'!$B$3:$K$190,9,FALSE())*0.811905633063426</f>
        <v>0.4020460034313193</v>
      </c>
      <c r="O38" s="194">
        <f>VLOOKUP(C38,'BD  Materiales y equipos'!$B$3:$K$190,10,FALSE())*1.14265904837007</f>
        <v>0</v>
      </c>
    </row>
    <row r="39" spans="1:15" ht="13.5" thickBot="1">
      <c r="A39" s="584" t="str">
        <f>IF(VLOOKUP(C39,'BD  Materiales y equipos'!$B$3:$F$190,1,FALSE())=C39,"CORRECTO","NO LISTADO")</f>
        <v>CORRECTO</v>
      </c>
      <c r="B39" s="147" t="s">
        <v>411</v>
      </c>
      <c r="C39" s="147" t="s">
        <v>842</v>
      </c>
      <c r="D39" s="191" t="str">
        <f>VLOOKUP(C39,'BD  Materiales y equipos'!$B$3:$F$190,2,FALSE())</f>
        <v>Junta</v>
      </c>
      <c r="E39" s="191">
        <f>VLOOKUP(C39,'BD  Materiales y equipos'!$B$3:$F$190,3,FALSE())</f>
        <v>0</v>
      </c>
      <c r="F39" s="191" t="str">
        <f>VLOOKUP(C39,'BD  Materiales y equipos'!$B$3:$F$190,4,FALSE())</f>
        <v>150#</v>
      </c>
      <c r="G39" s="133">
        <v>6</v>
      </c>
      <c r="H39" s="194">
        <f>VLOOKUP(C39,'BD  Materiales y equipos'!$B$3:$I$190,8,FALSE())*G39</f>
        <v>3.2306530962232327</v>
      </c>
      <c r="I39" s="194">
        <f t="shared" si="2"/>
        <v>2.8639152327669364</v>
      </c>
      <c r="J39" s="194">
        <f t="shared" si="3"/>
        <v>0</v>
      </c>
      <c r="K39" s="191" t="str">
        <f>VLOOKUP(C39,'BD  Materiales y equipos'!$B$3:$L$190,11,FALSE())</f>
        <v>IMPORTADO</v>
      </c>
      <c r="L39" s="436">
        <f t="shared" si="5"/>
        <v>1</v>
      </c>
      <c r="M39" s="421">
        <f t="shared" si="4"/>
        <v>1</v>
      </c>
      <c r="N39" s="194">
        <f>VLOOKUP(C39,'BD  Materiales y equipos'!$B$3:$K$190,9,FALSE())*0.811905633063426</f>
        <v>0.88648181883563171</v>
      </c>
      <c r="O39" s="194">
        <f>VLOOKUP(C39,'BD  Materiales y equipos'!$B$3:$K$190,10,FALSE())*1.14265904837007</f>
        <v>0</v>
      </c>
    </row>
    <row r="40" spans="1:15" ht="13.5" thickBot="1">
      <c r="A40" s="584" t="str">
        <f>IF(VLOOKUP(C40,'BD  Materiales y equipos'!$B$3:$F$190,1,FALSE())=C40,"CORRECTO","NO LISTADO")</f>
        <v>CORRECTO</v>
      </c>
      <c r="B40" s="147" t="s">
        <v>411</v>
      </c>
      <c r="C40" s="147" t="s">
        <v>843</v>
      </c>
      <c r="D40" s="191" t="str">
        <f>VLOOKUP(C40,'BD  Materiales y equipos'!$B$3:$F$190,2,FALSE())</f>
        <v>Junta</v>
      </c>
      <c r="E40" s="191">
        <f>VLOOKUP(C40,'BD  Materiales y equipos'!$B$3:$F$190,3,FALSE())</f>
        <v>0</v>
      </c>
      <c r="F40" s="191" t="str">
        <f>VLOOKUP(C40,'BD  Materiales y equipos'!$B$3:$F$190,4,FALSE())</f>
        <v>150#</v>
      </c>
      <c r="G40" s="133">
        <v>10</v>
      </c>
      <c r="H40" s="194">
        <f>VLOOKUP(C40,'BD  Materiales y equipos'!$B$3:$I$190,8,FALSE())*G40</f>
        <v>2.0191581851395202</v>
      </c>
      <c r="I40" s="194">
        <f t="shared" si="2"/>
        <v>1.5901849274240734</v>
      </c>
      <c r="J40" s="194">
        <f t="shared" si="3"/>
        <v>0</v>
      </c>
      <c r="K40" s="191" t="str">
        <f>VLOOKUP(C40,'BD  Materiales y equipos'!$B$3:$L$190,11,FALSE())</f>
        <v>IMPORTADO</v>
      </c>
      <c r="L40" s="436">
        <f t="shared" si="5"/>
        <v>1</v>
      </c>
      <c r="M40" s="421">
        <f t="shared" si="4"/>
        <v>1</v>
      </c>
      <c r="N40" s="194">
        <f>VLOOKUP(C40,'BD  Materiales y equipos'!$B$3:$K$190,9,FALSE())*0.811905633063426</f>
        <v>0.78754846407152324</v>
      </c>
      <c r="O40" s="194">
        <f>VLOOKUP(C40,'BD  Materiales y equipos'!$B$3:$K$190,10,FALSE())*1.14265904837007</f>
        <v>0</v>
      </c>
    </row>
    <row r="41" spans="1:15" ht="13.5" thickBot="1">
      <c r="A41" s="584" t="str">
        <f>IF(VLOOKUP(C41,'BD  Materiales y equipos'!$B$3:$F$190,1,FALSE())=C41,"CORRECTO","NO LISTADO")</f>
        <v>CORRECTO</v>
      </c>
      <c r="B41" s="147" t="s">
        <v>411</v>
      </c>
      <c r="C41" s="147" t="s">
        <v>822</v>
      </c>
      <c r="D41" s="191" t="str">
        <f>VLOOKUP(C41,'BD  Materiales y equipos'!$B$3:$F$190,2,FALSE())</f>
        <v>Global</v>
      </c>
      <c r="E41" s="191">
        <f>VLOOKUP(C41,'BD  Materiales y equipos'!$B$3:$F$190,3,FALSE())</f>
        <v>0</v>
      </c>
      <c r="F41" s="191" t="str">
        <f>VLOOKUP(C41,'BD  Materiales y equipos'!$B$3:$F$190,4,FALSE())</f>
        <v>900#</v>
      </c>
      <c r="G41" s="133">
        <v>1</v>
      </c>
      <c r="H41" s="194">
        <f>VLOOKUP(C41,'BD  Materiales y equipos'!$B$3:$I$190,8,FALSE())*G41</f>
        <v>29.676545413664702</v>
      </c>
      <c r="I41" s="194">
        <f t="shared" si="2"/>
        <v>3.6141831586825424</v>
      </c>
      <c r="J41" s="194">
        <f t="shared" si="3"/>
        <v>0</v>
      </c>
      <c r="K41" s="191" t="str">
        <f>VLOOKUP(C41,'BD  Materiales y equipos'!$B$3:$L$190,11,FALSE())</f>
        <v>IMPORTADO</v>
      </c>
      <c r="L41" s="436">
        <f t="shared" si="5"/>
        <v>1</v>
      </c>
      <c r="M41" s="421">
        <f t="shared" si="4"/>
        <v>1</v>
      </c>
      <c r="N41" s="194">
        <f>VLOOKUP(C41,'BD  Materiales y equipos'!$B$3:$K$190,9,FALSE())*0.811905633063426</f>
        <v>0.12178584495951389</v>
      </c>
      <c r="O41" s="194">
        <f>VLOOKUP(C41,'BD  Materiales y equipos'!$B$3:$K$190,10,FALSE())*1.14265904837007</f>
        <v>0</v>
      </c>
    </row>
    <row r="42" spans="1:15" ht="13.5" thickBot="1">
      <c r="A42" s="584" t="str">
        <f>IF(VLOOKUP(C42,'BD  Materiales y equipos'!$B$3:$F$190,1,FALSE())=C42,"CORRECTO","NO LISTADO")</f>
        <v>CORRECTO</v>
      </c>
      <c r="B42" s="147" t="s">
        <v>411</v>
      </c>
      <c r="C42" s="147" t="s">
        <v>898</v>
      </c>
      <c r="D42" s="191" t="str">
        <f>VLOOKUP(C42,'BD  Materiales y equipos'!$B$3:$F$190,2,FALSE())</f>
        <v>Global</v>
      </c>
      <c r="E42" s="191">
        <f>VLOOKUP(C42,'BD  Materiales y equipos'!$B$3:$F$190,3,FALSE())</f>
        <v>0</v>
      </c>
      <c r="F42" s="191" t="str">
        <f>VLOOKUP(C42,'BD  Materiales y equipos'!$B$3:$F$190,4,FALSE())</f>
        <v>300#</v>
      </c>
      <c r="G42" s="133">
        <v>1</v>
      </c>
      <c r="H42" s="194">
        <f>VLOOKUP(C42,'BD  Materiales y equipos'!$B$3:$I$190,8,FALSE())*G42</f>
        <v>2.9676545413664703</v>
      </c>
      <c r="I42" s="194">
        <f t="shared" si="2"/>
        <v>0.28913465269460342</v>
      </c>
      <c r="J42" s="194">
        <f t="shared" si="3"/>
        <v>0</v>
      </c>
      <c r="K42" s="191" t="str">
        <f>VLOOKUP(C42,'BD  Materiales y equipos'!$B$3:$L$190,11,FALSE())</f>
        <v>IMPORTADO</v>
      </c>
      <c r="L42" s="436">
        <f t="shared" si="5"/>
        <v>1</v>
      </c>
      <c r="M42" s="421">
        <f t="shared" si="4"/>
        <v>1</v>
      </c>
      <c r="N42" s="194">
        <f>VLOOKUP(C42,'BD  Materiales y equipos'!$B$3:$K$190,9,FALSE())*0.811905633063426</f>
        <v>9.7428675967611122E-2</v>
      </c>
      <c r="O42" s="194">
        <f>VLOOKUP(C42,'BD  Materiales y equipos'!$B$3:$K$190,10,FALSE())*1.14265904837007</f>
        <v>0</v>
      </c>
    </row>
    <row r="43" spans="1:15" ht="13.5" thickBot="1">
      <c r="A43" s="584" t="str">
        <f>IF(VLOOKUP(C43,'BD  Materiales y equipos'!$B$3:$F$190,1,FALSE())=C43,"CORRECTO","NO LISTADO")</f>
        <v>CORRECTO</v>
      </c>
      <c r="B43" s="147" t="s">
        <v>411</v>
      </c>
      <c r="C43" s="147" t="s">
        <v>902</v>
      </c>
      <c r="D43" s="191" t="str">
        <f>VLOOKUP(C43,'BD  Materiales y equipos'!$B$3:$F$190,2,FALSE())</f>
        <v>Global</v>
      </c>
      <c r="E43" s="191">
        <f>VLOOKUP(C43,'BD  Materiales y equipos'!$B$3:$F$190,3,FALSE())</f>
        <v>0</v>
      </c>
      <c r="F43" s="191" t="str">
        <f>VLOOKUP(C43,'BD  Materiales y equipos'!$B$3:$F$190,4,FALSE())</f>
        <v>150#</v>
      </c>
      <c r="G43" s="133">
        <v>1</v>
      </c>
      <c r="H43" s="194">
        <f>VLOOKUP(C43,'BD  Materiales y equipos'!$B$3:$I$190,8,FALSE())*G43</f>
        <v>7.4191363534161754</v>
      </c>
      <c r="I43" s="194">
        <f t="shared" si="2"/>
        <v>0.54212747380238135</v>
      </c>
      <c r="J43" s="194">
        <f t="shared" si="3"/>
        <v>0</v>
      </c>
      <c r="K43" s="191" t="str">
        <f>VLOOKUP(C43,'BD  Materiales y equipos'!$B$3:$L$190,11,FALSE())</f>
        <v>IMPORTADO</v>
      </c>
      <c r="L43" s="436">
        <f t="shared" si="5"/>
        <v>1</v>
      </c>
      <c r="M43" s="421">
        <f t="shared" si="4"/>
        <v>1</v>
      </c>
      <c r="N43" s="194">
        <f>VLOOKUP(C43,'BD  Materiales y equipos'!$B$3:$K$190,9,FALSE())*0.811905633063426</f>
        <v>7.3071506975708342E-2</v>
      </c>
      <c r="O43" s="194">
        <f>VLOOKUP(C43,'BD  Materiales y equipos'!$B$3:$K$190,10,FALSE())*1.14265904837007</f>
        <v>0</v>
      </c>
    </row>
    <row r="44" spans="1:15" ht="13.5" thickBot="1">
      <c r="A44" s="584" t="str">
        <f>IF(VLOOKUP(C44,'BD  Materiales y equipos'!$B$3:$F$190,1,FALSE())=C44,"CORRECTO","NO LISTADO")</f>
        <v>CORRECTO</v>
      </c>
      <c r="B44" s="147" t="s">
        <v>411</v>
      </c>
      <c r="C44" s="147" t="s">
        <v>890</v>
      </c>
      <c r="D44" s="191" t="str">
        <f>VLOOKUP(C44,'BD  Materiales y equipos'!$B$3:$F$190,2,FALSE())</f>
        <v>Global</v>
      </c>
      <c r="E44" s="191">
        <f>VLOOKUP(C44,'BD  Materiales y equipos'!$B$3:$F$190,3,FALSE())</f>
        <v>0</v>
      </c>
      <c r="F44" s="191">
        <f>VLOOKUP(C44,'BD  Materiales y equipos'!$B$3:$F$190,4,FALSE())</f>
        <v>0</v>
      </c>
      <c r="G44" s="133">
        <v>1</v>
      </c>
      <c r="H44" s="194">
        <f>VLOOKUP(C44,'BD  Materiales y equipos'!$B$3:$I$190,8,FALSE())*G44</f>
        <v>601.2468100808469</v>
      </c>
      <c r="I44" s="194">
        <f t="shared" si="2"/>
        <v>6827.4609100217076</v>
      </c>
      <c r="J44" s="194">
        <f t="shared" si="3"/>
        <v>0</v>
      </c>
      <c r="K44" s="191" t="str">
        <f>VLOOKUP(C44,'BD  Materiales y equipos'!$B$3:$L$190,11,FALSE())</f>
        <v>NACIONAL</v>
      </c>
      <c r="L44" s="436">
        <f t="shared" si="5"/>
        <v>1</v>
      </c>
      <c r="M44" s="421">
        <f t="shared" si="4"/>
        <v>1</v>
      </c>
      <c r="N44" s="194">
        <f>VLOOKUP(C44,'BD  Materiales y equipos'!$B$3:$K$190,9,FALSE())*0.811905633063426</f>
        <v>11.355504587381761</v>
      </c>
      <c r="O44" s="194">
        <f>VLOOKUP(C44,'BD  Materiales y equipos'!$B$3:$K$190,10,FALSE())*1.14265904837007</f>
        <v>0</v>
      </c>
    </row>
    <row r="45" spans="1:15" ht="13.5" thickBot="1">
      <c r="A45" s="584" t="str">
        <f>IF(VLOOKUP(C45,'BD  Materiales y equipos'!$B$3:$F$190,1,FALSE())=C45,"CORRECTO","NO LISTADO")</f>
        <v>CORRECTO</v>
      </c>
      <c r="B45" s="147" t="s">
        <v>411</v>
      </c>
      <c r="C45" s="147" t="s">
        <v>845</v>
      </c>
      <c r="D45" s="191" t="str">
        <f>VLOOKUP(C45,'BD  Materiales y equipos'!$B$3:$F$190,2,FALSE())</f>
        <v>Unidad</v>
      </c>
      <c r="E45" s="191">
        <f>VLOOKUP(C45,'BD  Materiales y equipos'!$B$3:$F$190,3,FALSE())</f>
        <v>0</v>
      </c>
      <c r="F45" s="191" t="str">
        <f>VLOOKUP(C45,'BD  Materiales y equipos'!$B$3:$F$190,4,FALSE())</f>
        <v>900# x 150#</v>
      </c>
      <c r="G45" s="133">
        <v>3</v>
      </c>
      <c r="H45" s="194">
        <f>VLOOKUP(C45,'BD  Materiales y equipos'!$B$3:$I$190,8,FALSE())*G45</f>
        <v>106.83556348919292</v>
      </c>
      <c r="I45" s="194">
        <f t="shared" si="2"/>
        <v>17520.096331966379</v>
      </c>
      <c r="J45" s="194">
        <f t="shared" si="3"/>
        <v>6401.6337091731639</v>
      </c>
      <c r="K45" s="191" t="str">
        <f>VLOOKUP(C45,'BD  Materiales y equipos'!$B$3:$L$190,11,FALSE())</f>
        <v>IMPORTADO</v>
      </c>
      <c r="L45" s="436">
        <f t="shared" si="5"/>
        <v>1</v>
      </c>
      <c r="M45" s="421">
        <f t="shared" si="4"/>
        <v>1</v>
      </c>
      <c r="N45" s="194">
        <f>VLOOKUP(C45,'BD  Materiales y equipos'!$B$3:$K$190,9,FALSE())*0.811905633063426</f>
        <v>163.99123812117716</v>
      </c>
      <c r="O45" s="194">
        <f>VLOOKUP(C45,'BD  Materiales y equipos'!$B$3:$K$190,10,FALSE())*1.14265904837007</f>
        <v>59.920437540639064</v>
      </c>
    </row>
    <row r="46" spans="1:15" ht="13.5" thickBot="1">
      <c r="A46" s="584" t="str">
        <f>IF(VLOOKUP(C46,'BD  Materiales y equipos'!$B$3:$F$190,1,FALSE())=C46,"CORRECTO","NO LISTADO")</f>
        <v>CORRECTO</v>
      </c>
      <c r="B46" s="147" t="s">
        <v>411</v>
      </c>
      <c r="C46" s="147" t="s">
        <v>823</v>
      </c>
      <c r="D46" s="191" t="str">
        <f>VLOOKUP(C46,'BD  Materiales y equipos'!$B$3:$F$190,2,FALSE())</f>
        <v>Unidad</v>
      </c>
      <c r="E46" s="191">
        <f>VLOOKUP(C46,'BD  Materiales y equipos'!$B$3:$F$190,3,FALSE())</f>
        <v>0</v>
      </c>
      <c r="F46" s="191" t="str">
        <f>VLOOKUP(C46,'BD  Materiales y equipos'!$B$3:$F$190,4,FALSE())</f>
        <v>900#</v>
      </c>
      <c r="G46" s="133">
        <v>2</v>
      </c>
      <c r="H46" s="194">
        <f>VLOOKUP(C46,'BD  Materiales y equipos'!$B$3:$I$190,8,FALSE())*G46</f>
        <v>788.80257709520777</v>
      </c>
      <c r="I46" s="194">
        <f t="shared" si="2"/>
        <v>12760.694087567674</v>
      </c>
      <c r="J46" s="194">
        <f t="shared" si="3"/>
        <v>4386.8245741861847</v>
      </c>
      <c r="K46" s="191" t="str">
        <f>VLOOKUP(C46,'BD  Materiales y equipos'!$B$3:$L$190,11,FALSE())</f>
        <v>IMPORTADO</v>
      </c>
      <c r="L46" s="436">
        <f t="shared" si="5"/>
        <v>1</v>
      </c>
      <c r="M46" s="421">
        <f t="shared" si="4"/>
        <v>1</v>
      </c>
      <c r="N46" s="194">
        <f>VLOOKUP(C46,'BD  Materiales y equipos'!$B$3:$K$190,9,FALSE())*0.811905633063426</f>
        <v>16.177297663706124</v>
      </c>
      <c r="O46" s="194">
        <f>VLOOKUP(C46,'BD  Materiales y equipos'!$B$3:$K$190,10,FALSE())*1.14265904837007</f>
        <v>5.5613720106503894</v>
      </c>
    </row>
    <row r="47" spans="1:15" ht="13.5" thickBot="1">
      <c r="A47" s="584" t="str">
        <f>IF(VLOOKUP(C47,'BD  Materiales y equipos'!$B$3:$F$190,1,FALSE())=C47,"CORRECTO","NO LISTADO")</f>
        <v>CORRECTO</v>
      </c>
      <c r="B47" s="147" t="s">
        <v>411</v>
      </c>
      <c r="C47" s="147" t="s">
        <v>847</v>
      </c>
      <c r="D47" s="191" t="str">
        <f>VLOOKUP(C47,'BD  Materiales y equipos'!$B$3:$F$190,2,FALSE())</f>
        <v>Unidad</v>
      </c>
      <c r="E47" s="191">
        <f>VLOOKUP(C47,'BD  Materiales y equipos'!$B$3:$F$190,3,FALSE())</f>
        <v>0</v>
      </c>
      <c r="F47" s="191" t="str">
        <f>VLOOKUP(C47,'BD  Materiales y equipos'!$B$3:$F$190,4,FALSE())</f>
        <v>900#</v>
      </c>
      <c r="G47" s="133">
        <v>1</v>
      </c>
      <c r="H47" s="194">
        <f>VLOOKUP(C47,'BD  Materiales y equipos'!$B$3:$I$190,8,FALSE())*G47</f>
        <v>365.91180495048576</v>
      </c>
      <c r="I47" s="194">
        <f t="shared" si="2"/>
        <v>3208.8324074010129</v>
      </c>
      <c r="J47" s="194">
        <f t="shared" si="3"/>
        <v>2034.971670418196</v>
      </c>
      <c r="K47" s="191" t="str">
        <f>VLOOKUP(C47,'BD  Materiales y equipos'!$B$3:$L$190,11,FALSE())</f>
        <v>IMPORTADO</v>
      </c>
      <c r="L47" s="436">
        <f t="shared" si="5"/>
        <v>1</v>
      </c>
      <c r="M47" s="421">
        <f t="shared" si="4"/>
        <v>1</v>
      </c>
      <c r="N47" s="194">
        <f>VLOOKUP(C47,'BD  Materiales y equipos'!$B$3:$K$190,9,FALSE())*0.811905633063426</f>
        <v>8.7694148261634357</v>
      </c>
      <c r="O47" s="194">
        <f>VLOOKUP(C47,'BD  Materiales y equipos'!$B$3:$K$190,10,FALSE())*1.14265904837007</f>
        <v>5.5613720106503894</v>
      </c>
    </row>
    <row r="48" spans="1:15" ht="13.5" thickBot="1">
      <c r="A48" s="584" t="str">
        <f>IF(VLOOKUP(C48,'BD  Materiales y equipos'!$B$3:$F$190,1,FALSE())=C48,"CORRECTO","NO LISTADO")</f>
        <v>CORRECTO</v>
      </c>
      <c r="B48" s="147" t="s">
        <v>411</v>
      </c>
      <c r="C48" s="147" t="s">
        <v>825</v>
      </c>
      <c r="D48" s="191" t="str">
        <f>VLOOKUP(C48,'BD  Materiales y equipos'!$B$3:$F$190,2,FALSE())</f>
        <v>Unidad</v>
      </c>
      <c r="E48" s="191">
        <f>VLOOKUP(C48,'BD  Materiales y equipos'!$B$3:$F$190,3,FALSE())</f>
        <v>0</v>
      </c>
      <c r="F48" s="191" t="str">
        <f>VLOOKUP(C48,'BD  Materiales y equipos'!$B$3:$F$190,4,FALSE())</f>
        <v>900#</v>
      </c>
      <c r="G48" s="133">
        <v>1</v>
      </c>
      <c r="H48" s="194">
        <f>VLOOKUP(C48,'BD  Materiales y equipos'!$B$3:$I$190,8,FALSE())*G48</f>
        <v>189.9298906474541</v>
      </c>
      <c r="I48" s="194">
        <f t="shared" si="2"/>
        <v>4044.9190084795141</v>
      </c>
      <c r="J48" s="194">
        <f t="shared" si="3"/>
        <v>1444.184089592585</v>
      </c>
      <c r="K48" s="191" t="str">
        <f>VLOOKUP(C48,'BD  Materiales y equipos'!$B$3:$L$190,11,FALSE())</f>
        <v>IMPORTADO</v>
      </c>
      <c r="L48" s="436">
        <f t="shared" si="5"/>
        <v>1</v>
      </c>
      <c r="M48" s="421">
        <f t="shared" si="4"/>
        <v>1</v>
      </c>
      <c r="N48" s="194">
        <f>VLOOKUP(C48,'BD  Materiales y equipos'!$B$3:$K$190,9,FALSE())*0.811905633063426</f>
        <v>21.296905898754247</v>
      </c>
      <c r="O48" s="194">
        <f>VLOOKUP(C48,'BD  Materiales y equipos'!$B$3:$K$190,10,FALSE())*1.14265904837007</f>
        <v>7.6037746595308926</v>
      </c>
    </row>
    <row r="49" spans="1:16" ht="13.5" thickBot="1">
      <c r="A49" s="584" t="str">
        <f>IF(VLOOKUP(C49,'BD  Materiales y equipos'!$B$3:$F$190,1,FALSE())=C49,"CORRECTO","NO LISTADO")</f>
        <v>CORRECTO</v>
      </c>
      <c r="B49" s="147" t="s">
        <v>411</v>
      </c>
      <c r="C49" s="147" t="s">
        <v>848</v>
      </c>
      <c r="D49" s="191" t="str">
        <f>VLOOKUP(C49,'BD  Materiales y equipos'!$B$3:$F$190,2,FALSE())</f>
        <v>Unidad</v>
      </c>
      <c r="E49" s="191">
        <f>VLOOKUP(C49,'BD  Materiales y equipos'!$B$3:$F$190,3,FALSE())</f>
        <v>0</v>
      </c>
      <c r="F49" s="191" t="str">
        <f>VLOOKUP(C49,'BD  Materiales y equipos'!$B$3:$F$190,4,FALSE())</f>
        <v>900#</v>
      </c>
      <c r="G49" s="133">
        <v>3</v>
      </c>
      <c r="H49" s="194">
        <f>VLOOKUP(C49,'BD  Materiales y equipos'!$B$3:$I$190,8,FALSE())*G49</f>
        <v>343.65439589023725</v>
      </c>
      <c r="I49" s="194">
        <f t="shared" si="2"/>
        <v>4018.5108398063981</v>
      </c>
      <c r="J49" s="194">
        <f t="shared" si="3"/>
        <v>2545.5769539235662</v>
      </c>
      <c r="K49" s="191" t="str">
        <f>VLOOKUP(C49,'BD  Materiales y equipos'!$B$3:$L$190,11,FALSE())</f>
        <v>IMPORTADO</v>
      </c>
      <c r="L49" s="436">
        <f t="shared" si="5"/>
        <v>1</v>
      </c>
      <c r="M49" s="421">
        <f t="shared" si="4"/>
        <v>1</v>
      </c>
      <c r="N49" s="194">
        <f>VLOOKUP(C49,'BD  Materiales y equipos'!$B$3:$K$190,9,FALSE())*0.811905633063426</f>
        <v>11.693465551041299</v>
      </c>
      <c r="O49" s="194">
        <f>VLOOKUP(C49,'BD  Materiales y equipos'!$B$3:$K$190,10,FALSE())*1.14265904837007</f>
        <v>7.4073749219160865</v>
      </c>
    </row>
    <row r="50" spans="1:16" ht="13.5" thickBot="1">
      <c r="A50" s="584" t="str">
        <f>IF(VLOOKUP(C50,'BD  Materiales y equipos'!$B$3:$F$190,1,FALSE())=C50,"CORRECTO","NO LISTADO")</f>
        <v>CORRECTO</v>
      </c>
      <c r="B50" s="147" t="s">
        <v>411</v>
      </c>
      <c r="C50" s="147" t="s">
        <v>783</v>
      </c>
      <c r="D50" s="191" t="str">
        <f>VLOOKUP(C50,'BD  Materiales y equipos'!$B$3:$F$190,2,FALSE())</f>
        <v>Unidad</v>
      </c>
      <c r="E50" s="191">
        <f>VLOOKUP(C50,'BD  Materiales y equipos'!$B$3:$F$190,3,FALSE())</f>
        <v>0</v>
      </c>
      <c r="F50" s="191" t="str">
        <f>VLOOKUP(C50,'BD  Materiales y equipos'!$B$3:$F$190,4,FALSE())</f>
        <v>300#</v>
      </c>
      <c r="G50" s="133">
        <v>2</v>
      </c>
      <c r="H50" s="194">
        <f>VLOOKUP(C50,'BD  Materiales y equipos'!$B$3:$I$190,8,FALSE())*G50</f>
        <v>147.78919616005021</v>
      </c>
      <c r="I50" s="194">
        <f t="shared" si="2"/>
        <v>1208.2776859244098</v>
      </c>
      <c r="J50" s="194">
        <f t="shared" si="3"/>
        <v>1094.7299853660932</v>
      </c>
      <c r="K50" s="191" t="str">
        <f>VLOOKUP(C50,'BD  Materiales y equipos'!$B$3:$L$190,11,FALSE())</f>
        <v>IMPORTADO</v>
      </c>
      <c r="L50" s="436">
        <f t="shared" si="5"/>
        <v>1</v>
      </c>
      <c r="M50" s="421">
        <f t="shared" si="4"/>
        <v>1</v>
      </c>
      <c r="N50" s="194">
        <f>VLOOKUP(C50,'BD  Materiales y equipos'!$B$3:$K$190,9,FALSE())*0.811905633063426</f>
        <v>8.1756834553446645</v>
      </c>
      <c r="O50" s="194">
        <f>VLOOKUP(C50,'BD  Materiales y equipos'!$B$3:$K$190,10,FALSE())*1.14265904837007</f>
        <v>7.4073749219160865</v>
      </c>
    </row>
    <row r="51" spans="1:16" ht="13.5" thickBot="1">
      <c r="A51" s="584" t="str">
        <f>IF(VLOOKUP(C51,'BD  Materiales y equipos'!$B$3:$F$190,1,FALSE())=C51,"CORRECTO","NO LISTADO")</f>
        <v>CORRECTO</v>
      </c>
      <c r="B51" s="147" t="s">
        <v>411</v>
      </c>
      <c r="C51" s="147" t="s">
        <v>849</v>
      </c>
      <c r="D51" s="191" t="str">
        <f>VLOOKUP(C51,'BD  Materiales y equipos'!$B$3:$F$190,2,FALSE())</f>
        <v>Unidad</v>
      </c>
      <c r="E51" s="191">
        <f>VLOOKUP(C51,'BD  Materiales y equipos'!$B$3:$F$190,3,FALSE())</f>
        <v>0</v>
      </c>
      <c r="F51" s="191" t="str">
        <f>VLOOKUP(C51,'BD  Materiales y equipos'!$B$3:$F$190,4,FALSE())</f>
        <v>300#</v>
      </c>
      <c r="G51" s="133">
        <v>1</v>
      </c>
      <c r="H51" s="194">
        <f>VLOOKUP(C51,'BD  Materiales y equipos'!$B$3:$I$190,8,FALSE())*G51</f>
        <v>44.421480073069446</v>
      </c>
      <c r="I51" s="194">
        <f t="shared" si="2"/>
        <v>1125.4859243575702</v>
      </c>
      <c r="J51" s="194">
        <f t="shared" si="3"/>
        <v>329.04655748764981</v>
      </c>
      <c r="K51" s="191" t="str">
        <f>VLOOKUP(C51,'BD  Materiales y equipos'!$B$3:$L$190,11,FALSE())</f>
        <v>IMPORTADO</v>
      </c>
      <c r="L51" s="436">
        <f t="shared" si="5"/>
        <v>1</v>
      </c>
      <c r="M51" s="421">
        <f t="shared" si="4"/>
        <v>1</v>
      </c>
      <c r="N51" s="194">
        <f>VLOOKUP(C51,'BD  Materiales y equipos'!$B$3:$K$190,9,FALSE())*0.811905633063426</f>
        <v>25.3365246386713</v>
      </c>
      <c r="O51" s="194">
        <f>VLOOKUP(C51,'BD  Materiales y equipos'!$B$3:$K$190,10,FALSE())*1.14265904837007</f>
        <v>7.4073749219160865</v>
      </c>
    </row>
    <row r="52" spans="1:16" ht="13.5" thickBot="1">
      <c r="A52" s="584" t="str">
        <f>IF(VLOOKUP(C52,'BD  Materiales y equipos'!$B$3:$F$190,1,FALSE())=C52,"CORRECTO","NO LISTADO")</f>
        <v>CORRECTO</v>
      </c>
      <c r="B52" s="147" t="s">
        <v>411</v>
      </c>
      <c r="C52" s="147" t="s">
        <v>850</v>
      </c>
      <c r="D52" s="191" t="str">
        <f>VLOOKUP(C52,'BD  Materiales y equipos'!$B$3:$F$190,2,FALSE())</f>
        <v>Unidad</v>
      </c>
      <c r="E52" s="191">
        <f>VLOOKUP(C52,'BD  Materiales y equipos'!$B$3:$F$190,3,FALSE())</f>
        <v>0</v>
      </c>
      <c r="F52" s="191" t="str">
        <f>VLOOKUP(C52,'BD  Materiales y equipos'!$B$3:$F$190,4,FALSE())</f>
        <v>150#</v>
      </c>
      <c r="G52" s="133">
        <v>4</v>
      </c>
      <c r="H52" s="194">
        <f>VLOOKUP(C52,'BD  Materiales y equipos'!$B$3:$I$190,8,FALSE())*G52</f>
        <v>458.20586118698299</v>
      </c>
      <c r="I52" s="194">
        <f t="shared" si="2"/>
        <v>2809.8870080745264</v>
      </c>
      <c r="J52" s="194">
        <f t="shared" si="3"/>
        <v>2548.2532515212447</v>
      </c>
      <c r="K52" s="191" t="str">
        <f>VLOOKUP(C52,'BD  Materiales y equipos'!$B$3:$L$190,11,FALSE())</f>
        <v>IMPORTADO</v>
      </c>
      <c r="L52" s="436">
        <f t="shared" si="5"/>
        <v>1</v>
      </c>
      <c r="M52" s="421">
        <f t="shared" si="4"/>
        <v>1</v>
      </c>
      <c r="N52" s="194">
        <f>VLOOKUP(C52,'BD  Materiales y equipos'!$B$3:$K$190,9,FALSE())*0.811905633063426</f>
        <v>6.1323681037067264</v>
      </c>
      <c r="O52" s="194">
        <f>VLOOKUP(C52,'BD  Materiales y equipos'!$B$3:$K$190,10,FALSE())*1.14265904837007</f>
        <v>5.5613720106503894</v>
      </c>
    </row>
    <row r="53" spans="1:16" ht="13.5" thickBot="1">
      <c r="A53" s="584" t="str">
        <f>IF(VLOOKUP(C53,'BD  Materiales y equipos'!$B$3:$F$190,1,FALSE())=C53,"CORRECTO","NO LISTADO")</f>
        <v>CORRECTO</v>
      </c>
      <c r="B53" s="147" t="s">
        <v>411</v>
      </c>
      <c r="C53" s="147" t="s">
        <v>826</v>
      </c>
      <c r="D53" s="191" t="str">
        <f>VLOOKUP(C53,'BD  Materiales y equipos'!$B$3:$F$190,2,FALSE())</f>
        <v>Unidad</v>
      </c>
      <c r="E53" s="191">
        <f>VLOOKUP(C53,'BD  Materiales y equipos'!$B$3:$F$190,3,FALSE())</f>
        <v>0</v>
      </c>
      <c r="F53" s="191" t="str">
        <f>VLOOKUP(C53,'BD  Materiales y equipos'!$B$3:$F$190,4,FALSE())</f>
        <v>900#</v>
      </c>
      <c r="G53" s="133">
        <v>3</v>
      </c>
      <c r="H53" s="194">
        <f>VLOOKUP(C53,'BD  Materiales y equipos'!$B$3:$I$190,8,FALSE())*G53</f>
        <v>569.78967194236225</v>
      </c>
      <c r="I53" s="194">
        <f t="shared" si="2"/>
        <v>5364.7218390052949</v>
      </c>
      <c r="J53" s="194">
        <f t="shared" si="3"/>
        <v>3168.8123334979209</v>
      </c>
      <c r="K53" s="191" t="str">
        <f>VLOOKUP(C53,'BD  Materiales y equipos'!$B$3:$L$190,11,FALSE())</f>
        <v>IMPORTADO</v>
      </c>
      <c r="L53" s="436">
        <f t="shared" si="5"/>
        <v>1</v>
      </c>
      <c r="M53" s="421">
        <f t="shared" si="4"/>
        <v>1</v>
      </c>
      <c r="N53" s="194">
        <f>VLOOKUP(C53,'BD  Materiales y equipos'!$B$3:$K$190,9,FALSE())*0.811905633063426</f>
        <v>9.4152669014119468</v>
      </c>
      <c r="O53" s="194">
        <f>VLOOKUP(C53,'BD  Materiales y equipos'!$B$3:$K$190,10,FALSE())*1.14265904837007</f>
        <v>5.5613720106503894</v>
      </c>
    </row>
    <row r="54" spans="1:16" ht="13.5" thickBot="1">
      <c r="A54" s="584" t="str">
        <f>IF(VLOOKUP(C54,'BD  Materiales y equipos'!$B$3:$F$190,1,FALSE())=C54,"CORRECTO","NO LISTADO")</f>
        <v>CORRECTO</v>
      </c>
      <c r="B54" s="147" t="s">
        <v>411</v>
      </c>
      <c r="C54" s="147" t="s">
        <v>741</v>
      </c>
      <c r="D54" s="191" t="str">
        <f>VLOOKUP(C54,'BD  Materiales y equipos'!$B$3:$F$190,2,FALSE())</f>
        <v>Unidad</v>
      </c>
      <c r="E54" s="191">
        <f>VLOOKUP(C54,'BD  Materiales y equipos'!$B$3:$F$190,3,FALSE())</f>
        <v>0</v>
      </c>
      <c r="F54" s="191" t="str">
        <f>VLOOKUP(C54,'BD  Materiales y equipos'!$B$3:$F$190,4,FALSE())</f>
        <v>150#</v>
      </c>
      <c r="G54" s="133">
        <v>6</v>
      </c>
      <c r="H54" s="194">
        <f>VLOOKUP(C54,'BD  Materiales y equipos'!$B$3:$I$190,8,FALSE())*G54</f>
        <v>78.346079892074812</v>
      </c>
      <c r="I54" s="194">
        <f t="shared" si="2"/>
        <v>539.04832609254447</v>
      </c>
      <c r="J54" s="194">
        <f t="shared" si="3"/>
        <v>580.33878742298918</v>
      </c>
      <c r="K54" s="191" t="str">
        <f>VLOOKUP(C54,'BD  Materiales y equipos'!$B$3:$L$190,11,FALSE())</f>
        <v>IMPORTADO</v>
      </c>
      <c r="L54" s="436">
        <f t="shared" si="5"/>
        <v>1</v>
      </c>
      <c r="M54" s="421">
        <f t="shared" si="4"/>
        <v>1</v>
      </c>
      <c r="N54" s="194">
        <f>VLOOKUP(C54,'BD  Materiales y equipos'!$B$3:$K$190,9,FALSE())*0.811905633063426</f>
        <v>6.8803484084348243</v>
      </c>
      <c r="O54" s="194">
        <f>VLOOKUP(C54,'BD  Materiales y equipos'!$B$3:$K$190,10,FALSE())*1.14265904837007</f>
        <v>7.4073749219160865</v>
      </c>
    </row>
    <row r="55" spans="1:16" ht="13.5" thickBot="1">
      <c r="A55" s="584" t="str">
        <f>IF(VLOOKUP(C55,'BD  Materiales y equipos'!$B$3:$F$190,1,FALSE())=C55,"CORRECTO","NO LISTADO")</f>
        <v>CORRECTO</v>
      </c>
      <c r="B55" s="147" t="s">
        <v>411</v>
      </c>
      <c r="C55" s="147" t="s">
        <v>742</v>
      </c>
      <c r="D55" s="191" t="str">
        <f>VLOOKUP(C55,'BD  Materiales y equipos'!$B$3:$F$190,2,FALSE())</f>
        <v>Unidad</v>
      </c>
      <c r="E55" s="191">
        <f>VLOOKUP(C55,'BD  Materiales y equipos'!$B$3:$F$190,3,FALSE())</f>
        <v>0</v>
      </c>
      <c r="F55" s="191" t="str">
        <f>VLOOKUP(C55,'BD  Materiales y equipos'!$B$3:$F$190,4,FALSE())</f>
        <v>150#</v>
      </c>
      <c r="G55" s="133">
        <v>8</v>
      </c>
      <c r="H55" s="194">
        <f>VLOOKUP(C55,'BD  Materiales y equipos'!$B$3:$I$190,8,FALSE())*G55</f>
        <v>35.61185449639764</v>
      </c>
      <c r="I55" s="194">
        <f t="shared" si="2"/>
        <v>422.67738508773442</v>
      </c>
      <c r="J55" s="194">
        <f t="shared" si="3"/>
        <v>263.7903579195405</v>
      </c>
      <c r="K55" s="191" t="str">
        <f>VLOOKUP(C55,'BD  Materiales y equipos'!$B$3:$L$190,11,FALSE())</f>
        <v>IMPORTADO</v>
      </c>
      <c r="L55" s="436">
        <f t="shared" si="5"/>
        <v>1</v>
      </c>
      <c r="M55" s="421">
        <f t="shared" si="4"/>
        <v>1</v>
      </c>
      <c r="N55" s="194">
        <f>VLOOKUP(C55,'BD  Materiales y equipos'!$B$3:$K$190,9,FALSE())*0.811905633063426</f>
        <v>11.869007976837905</v>
      </c>
      <c r="O55" s="194">
        <f>VLOOKUP(C55,'BD  Materiales y equipos'!$B$3:$K$190,10,FALSE())*1.14265904837007</f>
        <v>7.4073749219160865</v>
      </c>
    </row>
    <row r="56" spans="1:16" ht="13.5" thickBot="1">
      <c r="A56" s="584" t="str">
        <f>IF(VLOOKUP(C56,'BD  Materiales y equipos'!$B$3:$F$190,1,FALSE())=C56,"CORRECTO","NO LISTADO")</f>
        <v>CORRECTO</v>
      </c>
      <c r="B56" s="147" t="s">
        <v>411</v>
      </c>
      <c r="C56" s="147" t="s">
        <v>851</v>
      </c>
      <c r="D56" s="191" t="str">
        <f>VLOOKUP(C56,'BD  Materiales y equipos'!$B$3:$F$190,2,FALSE())</f>
        <v>Unidad</v>
      </c>
      <c r="E56" s="191">
        <f>VLOOKUP(C56,'BD  Materiales y equipos'!$B$3:$F$190,3,FALSE())</f>
        <v>0</v>
      </c>
      <c r="F56" s="191">
        <f>VLOOKUP(C56,'BD  Materiales y equipos'!$B$3:$F$190,4,FALSE())</f>
        <v>0</v>
      </c>
      <c r="G56" s="133">
        <v>6</v>
      </c>
      <c r="H56" s="194">
        <f>VLOOKUP(C56,'BD  Materiales y equipos'!$B$3:$I$190,8,FALSE())*G56</f>
        <v>213.67112697838584</v>
      </c>
      <c r="I56" s="194">
        <f t="shared" si="2"/>
        <v>30739.061466574065</v>
      </c>
      <c r="J56" s="194">
        <f t="shared" si="3"/>
        <v>11968.392149179203</v>
      </c>
      <c r="K56" s="191" t="str">
        <f>VLOOKUP(C56,'BD  Materiales y equipos'!$B$3:$L$190,11,FALSE())</f>
        <v>IMPORTADO</v>
      </c>
      <c r="L56" s="436">
        <f t="shared" si="5"/>
        <v>1</v>
      </c>
      <c r="M56" s="421">
        <f t="shared" si="4"/>
        <v>1</v>
      </c>
      <c r="N56" s="194">
        <f>VLOOKUP(C56,'BD  Materiales y equipos'!$B$3:$K$190,9,FALSE())*0.811905633063426</f>
        <v>143.86155912250845</v>
      </c>
      <c r="O56" s="194">
        <f>VLOOKUP(C56,'BD  Materiales y equipos'!$B$3:$K$190,10,FALSE())*1.14265904837007</f>
        <v>56.013146551100839</v>
      </c>
    </row>
    <row r="57" spans="1:16" ht="39" thickBot="1">
      <c r="A57" s="585" t="str">
        <f>IF(VLOOKUP(C57,'BD  Materiales y equipos'!$B$3:$F$190,1,FALSE())=C57,"CORRECTO","NO LISTADO")</f>
        <v>CORRECTO</v>
      </c>
      <c r="B57" s="586" t="s">
        <v>412</v>
      </c>
      <c r="C57" s="586" t="s">
        <v>891</v>
      </c>
      <c r="D57" s="587" t="str">
        <f>VLOOKUP(C57,'BD  Materiales y equipos'!$B$3:$F$190,2,FALSE())</f>
        <v>Unidad</v>
      </c>
      <c r="E57" s="587">
        <f>VLOOKUP(C57,'BD  Materiales y equipos'!$B$3:$F$190,3,FALSE())</f>
        <v>0</v>
      </c>
      <c r="F57" s="587" t="str">
        <f>VLOOKUP(C57,'BD  Materiales y equipos'!$B$3:$F$190,4,FALSE())</f>
        <v>150#</v>
      </c>
      <c r="G57" s="599">
        <v>1</v>
      </c>
      <c r="H57" s="589">
        <f>VLOOKUP(C57,'BD  Materiales y equipos'!$B$3:$I$190,8,FALSE())*G57</f>
        <v>83.094327158261166</v>
      </c>
      <c r="I57" s="589">
        <f t="shared" si="2"/>
        <v>57061.273448153988</v>
      </c>
      <c r="J57" s="589">
        <f t="shared" si="3"/>
        <v>18529.335367900399</v>
      </c>
      <c r="K57" s="587" t="str">
        <f>VLOOKUP(C57,'BD  Materiales y equipos'!$B$3:$L$190,11,FALSE())</f>
        <v>IMPORTADO</v>
      </c>
      <c r="L57" s="436">
        <f>ppi_usa_bom_ind/ppi_usa_bom_ind_base</f>
        <v>1</v>
      </c>
      <c r="M57" s="421">
        <f t="shared" si="4"/>
        <v>1</v>
      </c>
      <c r="N57" s="589">
        <f>VLOOKUP(C57,'BD  Materiales y equipos'!$B$3:$K$190,9,FALSE())*1.28149014580997</f>
        <v>686.7048016343557</v>
      </c>
      <c r="O57" s="589">
        <f>VLOOKUP(C57,'BD  Materiales y equipos'!$B$3:$K$190,10,FALSE())*1.14265904837007</f>
        <v>222.9915807923866</v>
      </c>
      <c r="P57" s="70"/>
    </row>
  </sheetData>
  <conditionalFormatting sqref="A2:A57">
    <cfRule type="cellIs" dxfId="11" priority="2" operator="equal">
      <formula>"CORRECTO"</formula>
    </cfRule>
    <cfRule type="cellIs" dxfId="10"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25">
    <tabColor theme="5" tint="0.59999389629810485"/>
  </sheetPr>
  <dimension ref="A1:Q24"/>
  <sheetViews>
    <sheetView showGridLines="0" showRowColHeaders="0" topLeftCell="J1" zoomScaleNormal="100" workbookViewId="0">
      <selection activeCell="C17" sqref="C17:H17"/>
    </sheetView>
  </sheetViews>
  <sheetFormatPr baseColWidth="10" defaultColWidth="9.140625" defaultRowHeight="12.75"/>
  <cols>
    <col min="1" max="1" width="12" customWidth="1"/>
    <col min="2" max="2" width="19.140625" customWidth="1"/>
    <col min="3" max="3" width="97.42578125" customWidth="1"/>
    <col min="4" max="4" width="10.7109375" customWidth="1"/>
    <col min="5" max="5" width="14" customWidth="1"/>
    <col min="6" max="6" width="6.85546875" customWidth="1"/>
    <col min="7" max="7" width="13.42578125" customWidth="1"/>
    <col min="8" max="8" width="20.140625" style="190" customWidth="1"/>
    <col min="9" max="9" width="15.28515625" customWidth="1"/>
    <col min="10" max="10" width="27.42578125" customWidth="1"/>
    <col min="11" max="11" width="12.7109375" customWidth="1"/>
    <col min="12" max="12" width="15.42578125" customWidth="1"/>
    <col min="13" max="13" width="22.28515625" customWidth="1"/>
    <col min="14" max="14" width="11.42578125"/>
    <col min="15" max="15" width="13.42578125" customWidth="1"/>
    <col min="16" max="1023" width="10.42578125" customWidth="1"/>
    <col min="1024" max="1025" width="11.42578125"/>
  </cols>
  <sheetData>
    <row r="1" spans="1:15" ht="75.75" thickBot="1">
      <c r="A1" s="596" t="s">
        <v>955</v>
      </c>
      <c r="B1" s="597" t="s">
        <v>956</v>
      </c>
      <c r="C1" s="597" t="s">
        <v>957</v>
      </c>
      <c r="D1" s="597" t="s">
        <v>699</v>
      </c>
      <c r="E1" s="597" t="s">
        <v>700</v>
      </c>
      <c r="F1" s="597" t="s">
        <v>701</v>
      </c>
      <c r="G1" s="597" t="s">
        <v>673</v>
      </c>
      <c r="H1" s="598" t="s">
        <v>958</v>
      </c>
      <c r="I1" s="597" t="s">
        <v>964</v>
      </c>
      <c r="J1" s="597" t="s">
        <v>960</v>
      </c>
      <c r="K1" s="604" t="s">
        <v>706</v>
      </c>
      <c r="L1" s="605" t="s">
        <v>961</v>
      </c>
      <c r="M1" s="197" t="s">
        <v>962</v>
      </c>
      <c r="N1" s="597" t="s">
        <v>965</v>
      </c>
      <c r="O1" s="597" t="s">
        <v>966</v>
      </c>
    </row>
    <row r="2" spans="1:15" ht="13.5" thickBot="1">
      <c r="A2" s="590" t="str">
        <f>IF(VLOOKUP(C2,'BD  Materiales y equipos'!$B$3:$F$190,1,FALSE())=C2,"CORRECTO","NO LISTADO")</f>
        <v>CORRECTO</v>
      </c>
      <c r="B2" s="591" t="s">
        <v>411</v>
      </c>
      <c r="C2" s="591" t="s">
        <v>830</v>
      </c>
      <c r="D2" s="592" t="str">
        <f>VLOOKUP(C2,'BD  Materiales y equipos'!$B$3:$F$190,2,FALSE())</f>
        <v>Metro lineal</v>
      </c>
      <c r="E2" s="592">
        <f>VLOOKUP(C2,'BD  Materiales y equipos'!$B$3:$F$190,3,FALSE())</f>
        <v>40</v>
      </c>
      <c r="F2" s="592">
        <f>VLOOKUP(C2,'BD  Materiales y equipos'!$B$3:$F$190,4,FALSE())</f>
        <v>0</v>
      </c>
      <c r="G2" s="601">
        <v>600</v>
      </c>
      <c r="H2" s="594">
        <f>VLOOKUP(C2,'BD  Materiales y equipos'!$B$3:$I$190,8,FALSE())*G2</f>
        <v>5039.9460090860603</v>
      </c>
      <c r="I2" s="594">
        <f>N2*H2*L2</f>
        <v>11856.564152622788</v>
      </c>
      <c r="J2" s="594">
        <f>O2*H2*M2</f>
        <v>18821.931941992461</v>
      </c>
      <c r="K2" s="592" t="str">
        <f>VLOOKUP(C2,'BD  Materiales y equipos'!$B$3:$L$190,11,FALSE())</f>
        <v>IMPORTADO</v>
      </c>
      <c r="L2" s="603">
        <f t="shared" ref="L2:L23" si="0">+acero/acero_base</f>
        <v>1</v>
      </c>
      <c r="M2" s="595">
        <f t="shared" ref="M2:M24" si="1">(0.65*ipc/ipc_base*trm_base/trm+0.35*fac_mano_obra)</f>
        <v>1</v>
      </c>
      <c r="N2" s="594">
        <f>VLOOKUP(C2,'BD  Materiales y equipos'!$B$3:$K$190,9,FALSE())*0.811905633063426</f>
        <v>2.3525180887350117</v>
      </c>
      <c r="O2" s="594">
        <f>VLOOKUP(C2,'BD  Materiales y equipos'!$B$3:$K$190,10,FALSE())*1.14265904837007</f>
        <v>3.7345503122573365</v>
      </c>
    </row>
    <row r="3" spans="1:15" ht="13.5" thickBot="1">
      <c r="A3" s="584" t="str">
        <f>IF(VLOOKUP(C3,'BD  Materiales y equipos'!$B$3:$F$190,1,FALSE())=C3,"CORRECTO","NO LISTADO")</f>
        <v>CORRECTO</v>
      </c>
      <c r="B3" s="147" t="s">
        <v>411</v>
      </c>
      <c r="C3" s="147" t="s">
        <v>712</v>
      </c>
      <c r="D3" s="191" t="str">
        <f>VLOOKUP(C3,'BD  Materiales y equipos'!$B$3:$F$190,2,FALSE())</f>
        <v>Metro lineal</v>
      </c>
      <c r="E3" s="191">
        <f>VLOOKUP(C3,'BD  Materiales y equipos'!$B$3:$F$190,3,FALSE())</f>
        <v>40</v>
      </c>
      <c r="F3" s="191">
        <f>VLOOKUP(C3,'BD  Materiales y equipos'!$B$3:$F$190,4,FALSE())</f>
        <v>0</v>
      </c>
      <c r="G3" s="133">
        <v>240</v>
      </c>
      <c r="H3" s="194">
        <f>VLOOKUP(C3,'BD  Materiales y equipos'!$B$3:$I$190,8,FALSE())*G3</f>
        <v>1146.8394493861445</v>
      </c>
      <c r="I3" s="594">
        <f t="shared" ref="I3:I24" si="2">N3*H3*L3</f>
        <v>3585.2696934130845</v>
      </c>
      <c r="J3" s="594">
        <f t="shared" ref="J3:J24" si="3">O3*H3*M3</f>
        <v>4759.5520265672949</v>
      </c>
      <c r="K3" s="191" t="str">
        <f>VLOOKUP(C3,'BD  Materiales y equipos'!$B$3:$L$190,11,FALSE())</f>
        <v>IMPORTADO</v>
      </c>
      <c r="L3" s="436">
        <f t="shared" si="0"/>
        <v>1</v>
      </c>
      <c r="M3" s="595">
        <f t="shared" si="1"/>
        <v>1</v>
      </c>
      <c r="N3" s="194">
        <f>VLOOKUP(C3,'BD  Materiales y equipos'!$B$3:$K$190,9,FALSE())*0.811905633063426</f>
        <v>3.1262176195038727</v>
      </c>
      <c r="O3" s="194">
        <f>VLOOKUP(C3,'BD  Materiales y equipos'!$B$3:$K$190,10,FALSE())*1.14265904837007</f>
        <v>4.1501467612706255</v>
      </c>
    </row>
    <row r="4" spans="1:15" ht="13.5" thickBot="1">
      <c r="A4" s="584" t="str">
        <f>IF(VLOOKUP(C4,'BD  Materiales y equipos'!$B$3:$F$190,1,FALSE())=C4,"CORRECTO","NO LISTADO")</f>
        <v>CORRECTO</v>
      </c>
      <c r="B4" s="147" t="s">
        <v>411</v>
      </c>
      <c r="C4" s="147" t="s">
        <v>713</v>
      </c>
      <c r="D4" s="191" t="str">
        <f>VLOOKUP(C4,'BD  Materiales y equipos'!$B$3:$F$190,2,FALSE())</f>
        <v>Metro lineal</v>
      </c>
      <c r="E4" s="191">
        <f>VLOOKUP(C4,'BD  Materiales y equipos'!$B$3:$F$190,3,FALSE())</f>
        <v>40</v>
      </c>
      <c r="F4" s="191">
        <f>VLOOKUP(C4,'BD  Materiales y equipos'!$B$3:$F$190,4,FALSE())</f>
        <v>0</v>
      </c>
      <c r="G4" s="133">
        <v>120</v>
      </c>
      <c r="H4" s="194">
        <f>VLOOKUP(C4,'BD  Materiales y equipos'!$B$3:$I$190,8,FALSE())*G4</f>
        <v>194.07236893031705</v>
      </c>
      <c r="I4" s="594">
        <f t="shared" si="2"/>
        <v>462.6154443113661</v>
      </c>
      <c r="J4" s="594">
        <f t="shared" si="3"/>
        <v>805.42881336827327</v>
      </c>
      <c r="K4" s="191" t="str">
        <f>VLOOKUP(C4,'BD  Materiales y equipos'!$B$3:$L$190,11,FALSE())</f>
        <v>IMPORTADO</v>
      </c>
      <c r="L4" s="436">
        <f t="shared" si="0"/>
        <v>1</v>
      </c>
      <c r="M4" s="595">
        <f t="shared" si="1"/>
        <v>1</v>
      </c>
      <c r="N4" s="194">
        <f>VLOOKUP(C4,'BD  Materiales y equipos'!$B$3:$K$190,9,FALSE())*0.811905633063426</f>
        <v>2.383726477196098</v>
      </c>
      <c r="O4" s="194">
        <f>VLOOKUP(C4,'BD  Materiales y equipos'!$B$3:$K$190,10,FALSE())*1.14265904837007</f>
        <v>4.1501467612706255</v>
      </c>
    </row>
    <row r="5" spans="1:15" ht="13.5" thickBot="1">
      <c r="A5" s="584" t="str">
        <f>IF(VLOOKUP(C5,'BD  Materiales y equipos'!$B$3:$F$190,1,FALSE())=C5,"CORRECTO","NO LISTADO")</f>
        <v>CORRECTO</v>
      </c>
      <c r="B5" s="147" t="s">
        <v>411</v>
      </c>
      <c r="C5" s="147" t="s">
        <v>833</v>
      </c>
      <c r="D5" s="191" t="str">
        <f>VLOOKUP(C5,'BD  Materiales y equipos'!$B$3:$F$190,2,FALSE())</f>
        <v>Unidad</v>
      </c>
      <c r="E5" s="191" t="str">
        <f>VLOOKUP(C5,'BD  Materiales y equipos'!$B$3:$F$190,3,FALSE())</f>
        <v>STD</v>
      </c>
      <c r="F5" s="191">
        <f>VLOOKUP(C5,'BD  Materiales y equipos'!$B$3:$F$190,4,FALSE())</f>
        <v>0</v>
      </c>
      <c r="G5" s="133">
        <v>10</v>
      </c>
      <c r="H5" s="194">
        <f>VLOOKUP(C5,'BD  Materiales y equipos'!$B$3:$I$190,8,FALSE())*G5</f>
        <v>20.191581851395206</v>
      </c>
      <c r="I5" s="594">
        <f t="shared" si="2"/>
        <v>1732.3984607285047</v>
      </c>
      <c r="J5" s="594">
        <f t="shared" si="3"/>
        <v>577.67062815268378</v>
      </c>
      <c r="K5" s="191" t="str">
        <f>VLOOKUP(C5,'BD  Materiales y equipos'!$B$3:$L$190,11,FALSE())</f>
        <v>IMPORTADO</v>
      </c>
      <c r="L5" s="436">
        <f t="shared" si="0"/>
        <v>1</v>
      </c>
      <c r="M5" s="595">
        <f t="shared" si="1"/>
        <v>1</v>
      </c>
      <c r="N5" s="194">
        <f>VLOOKUP(C5,'BD  Materiales y equipos'!$B$3:$K$190,9,FALSE())*0.811905633063426</f>
        <v>85.79805552029093</v>
      </c>
      <c r="O5" s="194">
        <f>VLOOKUP(C5,'BD  Materiales y equipos'!$B$3:$K$190,10,FALSE())*1.14265904837007</f>
        <v>28.609478564096136</v>
      </c>
    </row>
    <row r="6" spans="1:15" ht="13.5" thickBot="1">
      <c r="A6" s="584" t="str">
        <f>IF(VLOOKUP(C6,'BD  Materiales y equipos'!$B$3:$F$190,1,FALSE())=C6,"CORRECTO","NO LISTADO")</f>
        <v>CORRECTO</v>
      </c>
      <c r="B6" s="147" t="s">
        <v>411</v>
      </c>
      <c r="C6" s="147" t="s">
        <v>719</v>
      </c>
      <c r="D6" s="191" t="str">
        <f>VLOOKUP(C6,'BD  Materiales y equipos'!$B$3:$F$190,2,FALSE())</f>
        <v>Unidad</v>
      </c>
      <c r="E6" s="191" t="str">
        <f>VLOOKUP(C6,'BD  Materiales y equipos'!$B$3:$F$190,3,FALSE())</f>
        <v>STD</v>
      </c>
      <c r="F6" s="191">
        <f>VLOOKUP(C6,'BD  Materiales y equipos'!$B$3:$F$190,4,FALSE())</f>
        <v>0</v>
      </c>
      <c r="G6" s="133">
        <v>20</v>
      </c>
      <c r="H6" s="194">
        <f>VLOOKUP(C6,'BD  Materiales y equipos'!$B$3:$I$190,8,FALSE())*G6</f>
        <v>16.153265481116161</v>
      </c>
      <c r="I6" s="594">
        <f t="shared" si="2"/>
        <v>1970.9345492015434</v>
      </c>
      <c r="J6" s="594">
        <f t="shared" si="3"/>
        <v>322.43614951460546</v>
      </c>
      <c r="K6" s="191" t="str">
        <f>VLOOKUP(C6,'BD  Materiales y equipos'!$B$3:$L$190,11,FALSE())</f>
        <v>IMPORTADO</v>
      </c>
      <c r="L6" s="436">
        <f t="shared" si="0"/>
        <v>1</v>
      </c>
      <c r="M6" s="595">
        <f t="shared" si="1"/>
        <v>1</v>
      </c>
      <c r="N6" s="194">
        <f>VLOOKUP(C6,'BD  Materiales y equipos'!$B$3:$K$190,9,FALSE())*0.811905633063426</f>
        <v>122.01461998539229</v>
      </c>
      <c r="O6" s="194">
        <f>VLOOKUP(C6,'BD  Materiales y equipos'!$B$3:$K$190,10,FALSE())*1.14265904837007</f>
        <v>19.961050593240525</v>
      </c>
    </row>
    <row r="7" spans="1:15" ht="13.5" thickBot="1">
      <c r="A7" s="584" t="str">
        <f>IF(VLOOKUP(C7,'BD  Materiales y equipos'!$B$3:$F$190,1,FALSE())=C7,"CORRECTO","NO LISTADO")</f>
        <v>CORRECTO</v>
      </c>
      <c r="B7" s="147" t="s">
        <v>411</v>
      </c>
      <c r="C7" s="147" t="s">
        <v>720</v>
      </c>
      <c r="D7" s="191" t="str">
        <f>VLOOKUP(C7,'BD  Materiales y equipos'!$B$3:$F$190,2,FALSE())</f>
        <v>Unidad</v>
      </c>
      <c r="E7" s="191" t="str">
        <f>VLOOKUP(C7,'BD  Materiales y equipos'!$B$3:$F$190,3,FALSE())</f>
        <v>STD</v>
      </c>
      <c r="F7" s="191">
        <f>VLOOKUP(C7,'BD  Materiales y equipos'!$B$3:$F$190,4,FALSE())</f>
        <v>0</v>
      </c>
      <c r="G7" s="133">
        <v>20</v>
      </c>
      <c r="H7" s="194">
        <f>VLOOKUP(C7,'BD  Materiales y equipos'!$B$3:$I$190,8,FALSE())*G7</f>
        <v>2.6922109135193608</v>
      </c>
      <c r="I7" s="594">
        <f t="shared" si="2"/>
        <v>665.00970119758779</v>
      </c>
      <c r="J7" s="594">
        <f t="shared" si="3"/>
        <v>134.18057381404316</v>
      </c>
      <c r="K7" s="191" t="str">
        <f>VLOOKUP(C7,'BD  Materiales y equipos'!$B$3:$L$190,11,FALSE())</f>
        <v>IMPORTADO</v>
      </c>
      <c r="L7" s="436">
        <f t="shared" si="0"/>
        <v>1</v>
      </c>
      <c r="M7" s="595">
        <f t="shared" si="1"/>
        <v>1</v>
      </c>
      <c r="N7" s="194">
        <f>VLOOKUP(C7,'BD  Materiales y equipos'!$B$3:$K$190,9,FALSE())*0.811905633063426</f>
        <v>247.01248251321505</v>
      </c>
      <c r="O7" s="194">
        <f>VLOOKUP(C7,'BD  Materiales y equipos'!$B$3:$K$190,10,FALSE())*1.14265904837007</f>
        <v>49.840290424585348</v>
      </c>
    </row>
    <row r="8" spans="1:15" ht="13.5" thickBot="1">
      <c r="A8" s="584" t="str">
        <f>IF(VLOOKUP(C8,'BD  Materiales y equipos'!$B$3:$F$190,1,FALSE())=C8,"CORRECTO","NO LISTADO")</f>
        <v>CORRECTO</v>
      </c>
      <c r="B8" s="147" t="s">
        <v>411</v>
      </c>
      <c r="C8" s="147" t="s">
        <v>852</v>
      </c>
      <c r="D8" s="191" t="str">
        <f>VLOOKUP(C8,'BD  Materiales y equipos'!$B$3:$F$190,2,FALSE())</f>
        <v>Unidad</v>
      </c>
      <c r="E8" s="191">
        <f>VLOOKUP(C8,'BD  Materiales y equipos'!$B$3:$F$190,3,FALSE())</f>
        <v>0</v>
      </c>
      <c r="F8" s="191" t="str">
        <f>VLOOKUP(C8,'BD  Materiales y equipos'!$B$3:$F$190,4,FALSE())</f>
        <v>150#</v>
      </c>
      <c r="G8" s="133">
        <v>20</v>
      </c>
      <c r="H8" s="194">
        <f>VLOOKUP(C8,'BD  Materiales y equipos'!$B$3:$I$190,8,FALSE())*G8</f>
        <v>67.306404998191539</v>
      </c>
      <c r="I8" s="594">
        <f t="shared" si="2"/>
        <v>2187.8223400550728</v>
      </c>
      <c r="J8" s="594">
        <f t="shared" si="3"/>
        <v>885.61660939890453</v>
      </c>
      <c r="K8" s="191" t="str">
        <f>VLOOKUP(C8,'BD  Materiales y equipos'!$B$3:$L$190,11,FALSE())</f>
        <v>IMPORTADO</v>
      </c>
      <c r="L8" s="436">
        <f t="shared" si="0"/>
        <v>1</v>
      </c>
      <c r="M8" s="595">
        <f t="shared" si="1"/>
        <v>1</v>
      </c>
      <c r="N8" s="194">
        <f>VLOOKUP(C8,'BD  Materiales y equipos'!$B$3:$K$190,9,FALSE())*0.811905633063426</f>
        <v>32.505410742318766</v>
      </c>
      <c r="O8" s="194">
        <f>VLOOKUP(C8,'BD  Materiales y equipos'!$B$3:$K$190,10,FALSE())*1.14265904837007</f>
        <v>13.15798413869676</v>
      </c>
    </row>
    <row r="9" spans="1:15" ht="13.5" thickBot="1">
      <c r="A9" s="584" t="str">
        <f>IF(VLOOKUP(C9,'BD  Materiales y equipos'!$B$3:$F$190,1,FALSE())=C9,"CORRECTO","NO LISTADO")</f>
        <v>CORRECTO</v>
      </c>
      <c r="B9" s="147" t="s">
        <v>411</v>
      </c>
      <c r="C9" s="147" t="s">
        <v>724</v>
      </c>
      <c r="D9" s="191" t="str">
        <f>VLOOKUP(C9,'BD  Materiales y equipos'!$B$3:$F$190,2,FALSE())</f>
        <v>Unidad</v>
      </c>
      <c r="E9" s="191">
        <f>VLOOKUP(C9,'BD  Materiales y equipos'!$B$3:$F$190,3,FALSE())</f>
        <v>0</v>
      </c>
      <c r="F9" s="191" t="str">
        <f>VLOOKUP(C9,'BD  Materiales y equipos'!$B$3:$F$190,4,FALSE())</f>
        <v>150#</v>
      </c>
      <c r="G9" s="133">
        <v>20</v>
      </c>
      <c r="H9" s="194">
        <f>VLOOKUP(C9,'BD  Materiales y equipos'!$B$3:$I$190,8,FALSE())*G9</f>
        <v>43.075374616309773</v>
      </c>
      <c r="I9" s="594">
        <f t="shared" si="2"/>
        <v>1243.2790065867944</v>
      </c>
      <c r="J9" s="594">
        <f t="shared" si="3"/>
        <v>1015.6788919779261</v>
      </c>
      <c r="K9" s="191" t="str">
        <f>VLOOKUP(C9,'BD  Materiales y equipos'!$B$3:$L$190,11,FALSE())</f>
        <v>IMPORTADO</v>
      </c>
      <c r="L9" s="436">
        <f t="shared" si="0"/>
        <v>1</v>
      </c>
      <c r="M9" s="595">
        <f t="shared" si="1"/>
        <v>1</v>
      </c>
      <c r="N9" s="194">
        <f>VLOOKUP(C9,'BD  Materiales y equipos'!$B$3:$K$190,9,FALSE())*0.811905633063426</f>
        <v>28.862871598011537</v>
      </c>
      <c r="O9" s="194">
        <f>VLOOKUP(C9,'BD  Materiales y equipos'!$B$3:$K$190,10,FALSE())*1.14265904837007</f>
        <v>23.579107576544587</v>
      </c>
    </row>
    <row r="10" spans="1:15" ht="13.5" thickBot="1">
      <c r="A10" s="584" t="str">
        <f>IF(VLOOKUP(C10,'BD  Materiales y equipos'!$B$3:$F$190,1,FALSE())=C10,"CORRECTO","NO LISTADO")</f>
        <v>CORRECTO</v>
      </c>
      <c r="B10" s="147" t="s">
        <v>411</v>
      </c>
      <c r="C10" s="147" t="s">
        <v>725</v>
      </c>
      <c r="D10" s="191" t="str">
        <f>VLOOKUP(C10,'BD  Materiales y equipos'!$B$3:$F$190,2,FALSE())</f>
        <v>Unidad</v>
      </c>
      <c r="E10" s="191">
        <f>VLOOKUP(C10,'BD  Materiales y equipos'!$B$3:$F$190,3,FALSE())</f>
        <v>0</v>
      </c>
      <c r="F10" s="191" t="str">
        <f>VLOOKUP(C10,'BD  Materiales y equipos'!$B$3:$F$190,4,FALSE())</f>
        <v>150#</v>
      </c>
      <c r="G10" s="133">
        <v>20</v>
      </c>
      <c r="H10" s="194">
        <f>VLOOKUP(C10,'BD  Materiales y equipos'!$B$3:$I$190,8,FALSE())*G10</f>
        <v>17.499370937875842</v>
      </c>
      <c r="I10" s="594">
        <f t="shared" si="2"/>
        <v>578.26930538920624</v>
      </c>
      <c r="J10" s="594">
        <f t="shared" si="3"/>
        <v>739.41423335992988</v>
      </c>
      <c r="K10" s="191" t="str">
        <f>VLOOKUP(C10,'BD  Materiales y equipos'!$B$3:$L$190,11,FALSE())</f>
        <v>IMPORTADO</v>
      </c>
      <c r="L10" s="436">
        <f t="shared" si="0"/>
        <v>1</v>
      </c>
      <c r="M10" s="595">
        <f t="shared" si="1"/>
        <v>1</v>
      </c>
      <c r="N10" s="194">
        <f>VLOOKUP(C10,'BD  Materiales y equipos'!$B$3:$K$190,9,FALSE())*0.811905633063426</f>
        <v>33.045148162302993</v>
      </c>
      <c r="O10" s="194">
        <f>VLOOKUP(C10,'BD  Materiales y equipos'!$B$3:$K$190,10,FALSE())*1.14265904837007</f>
        <v>42.253760777167891</v>
      </c>
    </row>
    <row r="11" spans="1:15" ht="13.5" thickBot="1">
      <c r="A11" s="584" t="str">
        <f>IF(VLOOKUP(C11,'BD  Materiales y equipos'!$B$3:$F$190,1,FALSE())=C11,"CORRECTO","NO LISTADO")</f>
        <v>CORRECTO</v>
      </c>
      <c r="B11" s="147" t="s">
        <v>411</v>
      </c>
      <c r="C11" s="147" t="s">
        <v>853</v>
      </c>
      <c r="D11" s="191" t="str">
        <f>VLOOKUP(C11,'BD  Materiales y equipos'!$B$3:$F$190,2,FALSE())</f>
        <v>Unidad</v>
      </c>
      <c r="E11" s="191" t="str">
        <f>VLOOKUP(C11,'BD  Materiales y equipos'!$B$3:$F$190,3,FALSE())</f>
        <v>STD</v>
      </c>
      <c r="F11" s="191">
        <f>VLOOKUP(C11,'BD  Materiales y equipos'!$B$3:$F$190,4,FALSE())</f>
        <v>0</v>
      </c>
      <c r="G11" s="133">
        <v>8</v>
      </c>
      <c r="H11" s="194">
        <f>VLOOKUP(C11,'BD  Materiales y equipos'!$B$3:$I$190,8,FALSE())*G11</f>
        <v>31.219725775175267</v>
      </c>
      <c r="I11" s="594">
        <f t="shared" si="2"/>
        <v>2399.0552596325019</v>
      </c>
      <c r="J11" s="594">
        <f t="shared" si="3"/>
        <v>401.47717275936674</v>
      </c>
      <c r="K11" s="191" t="str">
        <f>VLOOKUP(C11,'BD  Materiales y equipos'!$B$3:$L$190,11,FALSE())</f>
        <v>IMPORTADO</v>
      </c>
      <c r="L11" s="436">
        <f t="shared" si="0"/>
        <v>1</v>
      </c>
      <c r="M11" s="595">
        <f t="shared" si="1"/>
        <v>1</v>
      </c>
      <c r="N11" s="194">
        <f>VLOOKUP(C11,'BD  Materiales y equipos'!$B$3:$K$190,9,FALSE())*0.811905633063426</f>
        <v>76.844213075700338</v>
      </c>
      <c r="O11" s="194">
        <f>VLOOKUP(C11,'BD  Materiales y equipos'!$B$3:$K$190,10,FALSE())*1.14265904837007</f>
        <v>12.859727713515218</v>
      </c>
    </row>
    <row r="12" spans="1:15" ht="13.5" thickBot="1">
      <c r="A12" s="584" t="str">
        <f>IF(VLOOKUP(C12,'BD  Materiales y equipos'!$B$3:$F$190,1,FALSE())=C12,"CORRECTO","NO LISTADO")</f>
        <v>CORRECTO</v>
      </c>
      <c r="B12" s="147" t="s">
        <v>411</v>
      </c>
      <c r="C12" s="147" t="s">
        <v>874</v>
      </c>
      <c r="D12" s="191" t="str">
        <f>VLOOKUP(C12,'BD  Materiales y equipos'!$B$3:$F$190,2,FALSE())</f>
        <v>Unidad</v>
      </c>
      <c r="E12" s="191" t="str">
        <f>VLOOKUP(C12,'BD  Materiales y equipos'!$B$3:$F$190,3,FALSE())</f>
        <v>STD</v>
      </c>
      <c r="F12" s="191">
        <f>VLOOKUP(C12,'BD  Materiales y equipos'!$B$3:$F$190,4,FALSE())</f>
        <v>0</v>
      </c>
      <c r="G12" s="133">
        <v>10</v>
      </c>
      <c r="H12" s="194">
        <f>VLOOKUP(C12,'BD  Materiales y equipos'!$B$3:$I$190,8,FALSE())*G12</f>
        <v>17.499370937875842</v>
      </c>
      <c r="I12" s="594">
        <f t="shared" si="2"/>
        <v>1696.2566291416795</v>
      </c>
      <c r="J12" s="594">
        <f t="shared" si="3"/>
        <v>316.91767114610224</v>
      </c>
      <c r="K12" s="191" t="str">
        <f>VLOOKUP(C12,'BD  Materiales y equipos'!$B$3:$L$190,11,FALSE())</f>
        <v>IMPORTADO</v>
      </c>
      <c r="L12" s="436">
        <f t="shared" si="0"/>
        <v>1</v>
      </c>
      <c r="M12" s="595">
        <f t="shared" si="1"/>
        <v>1</v>
      </c>
      <c r="N12" s="194">
        <f>VLOOKUP(C12,'BD  Materiales y equipos'!$B$3:$K$190,9,FALSE())*0.811905633063426</f>
        <v>96.932434609422558</v>
      </c>
      <c r="O12" s="194">
        <f>VLOOKUP(C12,'BD  Materiales y equipos'!$B$3:$K$190,10,FALSE())*1.14265904837007</f>
        <v>18.11023220612816</v>
      </c>
    </row>
    <row r="13" spans="1:15" ht="13.5" thickBot="1">
      <c r="A13" s="584" t="str">
        <f>IF(VLOOKUP(C13,'BD  Materiales y equipos'!$B$3:$F$190,1,FALSE())=C13,"CORRECTO","NO LISTADO")</f>
        <v>CORRECTO</v>
      </c>
      <c r="B13" s="147" t="s">
        <v>411</v>
      </c>
      <c r="C13" s="147" t="s">
        <v>875</v>
      </c>
      <c r="D13" s="191" t="str">
        <f>VLOOKUP(C13,'BD  Materiales y equipos'!$B$3:$F$190,2,FALSE())</f>
        <v>Unidad</v>
      </c>
      <c r="E13" s="191" t="str">
        <f>VLOOKUP(C13,'BD  Materiales y equipos'!$B$3:$F$190,3,FALSE())</f>
        <v>STD</v>
      </c>
      <c r="F13" s="191">
        <f>VLOOKUP(C13,'BD  Materiales y equipos'!$B$3:$F$190,4,FALSE())</f>
        <v>0</v>
      </c>
      <c r="G13" s="133">
        <v>10</v>
      </c>
      <c r="H13" s="194">
        <f>VLOOKUP(C13,'BD  Materiales y equipos'!$B$3:$I$190,8,FALSE())*G13</f>
        <v>34.998741875751683</v>
      </c>
      <c r="I13" s="594">
        <f t="shared" si="2"/>
        <v>2574.4602165224378</v>
      </c>
      <c r="J13" s="594">
        <f t="shared" si="3"/>
        <v>441.24930474291199</v>
      </c>
      <c r="K13" s="191" t="str">
        <f>VLOOKUP(C13,'BD  Materiales y equipos'!$B$3:$L$190,11,FALSE())</f>
        <v>IMPORTADO</v>
      </c>
      <c r="L13" s="436">
        <f t="shared" si="0"/>
        <v>1</v>
      </c>
      <c r="M13" s="595">
        <f t="shared" si="1"/>
        <v>1</v>
      </c>
      <c r="N13" s="194">
        <f>VLOOKUP(C13,'BD  Materiales y equipos'!$B$3:$K$190,9,FALSE())*0.811905633063426</f>
        <v>73.558650355546391</v>
      </c>
      <c r="O13" s="194">
        <f>VLOOKUP(C13,'BD  Materiales y equipos'!$B$3:$K$190,10,FALSE())*1.14265904837007</f>
        <v>12.607576189720822</v>
      </c>
    </row>
    <row r="14" spans="1:15" ht="13.5" thickBot="1">
      <c r="A14" s="584" t="str">
        <f>IF(VLOOKUP(C14,'BD  Materiales y equipos'!$B$3:$F$190,1,FALSE())=C14,"CORRECTO","NO LISTADO")</f>
        <v>CORRECTO</v>
      </c>
      <c r="B14" s="147" t="s">
        <v>411</v>
      </c>
      <c r="C14" s="147" t="s">
        <v>876</v>
      </c>
      <c r="D14" s="191" t="str">
        <f>VLOOKUP(C14,'BD  Materiales y equipos'!$B$3:$F$190,2,FALSE())</f>
        <v>Unidad</v>
      </c>
      <c r="E14" s="191" t="str">
        <f>VLOOKUP(C14,'BD  Materiales y equipos'!$B$3:$F$190,3,FALSE())</f>
        <v>STD</v>
      </c>
      <c r="F14" s="191">
        <f>VLOOKUP(C14,'BD  Materiales y equipos'!$B$3:$F$190,4,FALSE())</f>
        <v>0</v>
      </c>
      <c r="G14" s="133">
        <v>20</v>
      </c>
      <c r="H14" s="194">
        <f>VLOOKUP(C14,'BD  Materiales y equipos'!$B$3:$I$190,8,FALSE())*G14</f>
        <v>30.960425505472642</v>
      </c>
      <c r="I14" s="594">
        <f t="shared" si="2"/>
        <v>3055.1894968063157</v>
      </c>
      <c r="J14" s="594">
        <f t="shared" si="3"/>
        <v>486.93844780239198</v>
      </c>
      <c r="K14" s="191" t="str">
        <f>VLOOKUP(C14,'BD  Materiales y equipos'!$B$3:$L$190,11,FALSE())</f>
        <v>IMPORTADO</v>
      </c>
      <c r="L14" s="436">
        <f t="shared" si="0"/>
        <v>1</v>
      </c>
      <c r="M14" s="595">
        <f t="shared" si="1"/>
        <v>1</v>
      </c>
      <c r="N14" s="194">
        <f>VLOOKUP(C14,'BD  Materiales y equipos'!$B$3:$K$190,9,FALSE())*0.811905633063426</f>
        <v>98.680475055689172</v>
      </c>
      <c r="O14" s="194">
        <f>VLOOKUP(C14,'BD  Materiales y equipos'!$B$3:$K$190,10,FALSE())*1.14265904837007</f>
        <v>15.727769882113524</v>
      </c>
    </row>
    <row r="15" spans="1:15" ht="13.5" thickBot="1">
      <c r="A15" s="584" t="str">
        <f>IF(VLOOKUP(C15,'BD  Materiales y equipos'!$B$3:$F$190,1,FALSE())=C15,"CORRECTO","NO LISTADO")</f>
        <v>CORRECTO</v>
      </c>
      <c r="B15" s="147" t="s">
        <v>411</v>
      </c>
      <c r="C15" s="147" t="s">
        <v>881</v>
      </c>
      <c r="D15" s="191" t="str">
        <f>VLOOKUP(C15,'BD  Materiales y equipos'!$B$3:$F$190,2,FALSE())</f>
        <v>Junta</v>
      </c>
      <c r="E15" s="191">
        <f>VLOOKUP(C15,'BD  Materiales y equipos'!$B$3:$F$190,3,FALSE())</f>
        <v>0</v>
      </c>
      <c r="F15" s="191" t="str">
        <f>VLOOKUP(C15,'BD  Materiales y equipos'!$B$3:$F$190,4,FALSE())</f>
        <v>150#</v>
      </c>
      <c r="G15" s="133">
        <v>10</v>
      </c>
      <c r="H15" s="194">
        <f>VLOOKUP(C15,'BD  Materiales y equipos'!$B$3:$I$190,8,FALSE())*G15</f>
        <v>8.0766327405580807</v>
      </c>
      <c r="I15" s="594">
        <f t="shared" si="2"/>
        <v>7.5794997970641962</v>
      </c>
      <c r="J15" s="594">
        <f t="shared" si="3"/>
        <v>0</v>
      </c>
      <c r="K15" s="191" t="str">
        <f>VLOOKUP(C15,'BD  Materiales y equipos'!$B$3:$L$190,11,FALSE())</f>
        <v>IMPORTADO</v>
      </c>
      <c r="L15" s="436">
        <f t="shared" si="0"/>
        <v>1</v>
      </c>
      <c r="M15" s="595">
        <f t="shared" si="1"/>
        <v>1</v>
      </c>
      <c r="N15" s="194">
        <f>VLOOKUP(C15,'BD  Materiales y equipos'!$B$3:$K$190,9,FALSE())*0.811905633063426</f>
        <v>0.93844799442254523</v>
      </c>
      <c r="O15" s="194">
        <f>VLOOKUP(C15,'BD  Materiales y equipos'!$B$3:$K$190,10,FALSE())*1.14265904837007</f>
        <v>0</v>
      </c>
    </row>
    <row r="16" spans="1:15" ht="13.5" thickBot="1">
      <c r="A16" s="584" t="str">
        <f>IF(VLOOKUP(C16,'BD  Materiales y equipos'!$B$3:$F$190,1,FALSE())=C16,"CORRECTO","NO LISTADO")</f>
        <v>CORRECTO</v>
      </c>
      <c r="B16" s="147" t="s">
        <v>411</v>
      </c>
      <c r="C16" s="147" t="s">
        <v>842</v>
      </c>
      <c r="D16" s="191" t="str">
        <f>VLOOKUP(C16,'BD  Materiales y equipos'!$B$3:$F$190,2,FALSE())</f>
        <v>Junta</v>
      </c>
      <c r="E16" s="191">
        <f>VLOOKUP(C16,'BD  Materiales y equipos'!$B$3:$F$190,3,FALSE())</f>
        <v>0</v>
      </c>
      <c r="F16" s="191" t="str">
        <f>VLOOKUP(C16,'BD  Materiales y equipos'!$B$3:$F$190,4,FALSE())</f>
        <v>150#</v>
      </c>
      <c r="G16" s="133">
        <v>10</v>
      </c>
      <c r="H16" s="194">
        <f>VLOOKUP(C16,'BD  Materiales y equipos'!$B$3:$I$190,8,FALSE())*G16</f>
        <v>5.3844218270387216</v>
      </c>
      <c r="I16" s="594">
        <f t="shared" si="2"/>
        <v>4.7731920546115614</v>
      </c>
      <c r="J16" s="594">
        <f t="shared" si="3"/>
        <v>0</v>
      </c>
      <c r="K16" s="191" t="str">
        <f>VLOOKUP(C16,'BD  Materiales y equipos'!$B$3:$L$190,11,FALSE())</f>
        <v>IMPORTADO</v>
      </c>
      <c r="L16" s="436">
        <f t="shared" si="0"/>
        <v>1</v>
      </c>
      <c r="M16" s="595">
        <f t="shared" si="1"/>
        <v>1</v>
      </c>
      <c r="N16" s="194">
        <f>VLOOKUP(C16,'BD  Materiales y equipos'!$B$3:$K$190,9,FALSE())*0.811905633063426</f>
        <v>0.88648181883563171</v>
      </c>
      <c r="O16" s="194">
        <f>VLOOKUP(C16,'BD  Materiales y equipos'!$B$3:$K$190,10,FALSE())*1.14265904837007</f>
        <v>0</v>
      </c>
    </row>
    <row r="17" spans="1:17" ht="13.5" thickBot="1">
      <c r="A17" s="584" t="str">
        <f>IF(VLOOKUP(C17,'BD  Materiales y equipos'!$B$3:$F$190,1,FALSE())=C17,"CORRECTO","NO LISTADO")</f>
        <v>CORRECTO</v>
      </c>
      <c r="B17" s="147" t="s">
        <v>411</v>
      </c>
      <c r="C17" s="147" t="s">
        <v>839</v>
      </c>
      <c r="D17" s="191" t="str">
        <f>VLOOKUP(C17,'BD  Materiales y equipos'!$B$3:$F$190,2,FALSE())</f>
        <v>Junta</v>
      </c>
      <c r="E17" s="191">
        <f>VLOOKUP(C17,'BD  Materiales y equipos'!$B$3:$F$190,3,FALSE())</f>
        <v>0</v>
      </c>
      <c r="F17" s="191" t="str">
        <f>VLOOKUP(C17,'BD  Materiales y equipos'!$B$3:$F$190,4,FALSE())</f>
        <v>150#</v>
      </c>
      <c r="G17" s="133">
        <v>10</v>
      </c>
      <c r="H17" s="194">
        <f>VLOOKUP(C17,'BD  Materiales y equipos'!$B$3:$I$190,8,FALSE())*G17</f>
        <v>2.0180050881291995</v>
      </c>
      <c r="I17" s="594">
        <f t="shared" si="2"/>
        <v>3.0288119259214721</v>
      </c>
      <c r="J17" s="594">
        <f t="shared" si="3"/>
        <v>0</v>
      </c>
      <c r="K17" s="191" t="str">
        <f>VLOOKUP(C17,'BD  Materiales y equipos'!$B$3:$L$190,11,FALSE())</f>
        <v>IMPORTADO</v>
      </c>
      <c r="L17" s="436">
        <f t="shared" si="0"/>
        <v>1</v>
      </c>
      <c r="M17" s="595">
        <f t="shared" si="1"/>
        <v>1</v>
      </c>
      <c r="N17" s="194">
        <f>VLOOKUP(C17,'BD  Materiales y equipos'!$B$3:$K$190,9,FALSE())*0.811905633063426</f>
        <v>1.5008940977098058</v>
      </c>
      <c r="O17" s="194">
        <f>VLOOKUP(C17,'BD  Materiales y equipos'!$B$3:$K$190,10,FALSE())*1.14265904837007</f>
        <v>0</v>
      </c>
    </row>
    <row r="18" spans="1:17" ht="13.5" thickBot="1">
      <c r="A18" s="584" t="str">
        <f>IF(VLOOKUP(C18,'BD  Materiales y equipos'!$B$3:$F$190,1,FALSE())=C18,"CORRECTO","NO LISTADO")</f>
        <v>CORRECTO</v>
      </c>
      <c r="B18" s="147" t="s">
        <v>411</v>
      </c>
      <c r="C18" s="147" t="s">
        <v>844</v>
      </c>
      <c r="D18" s="191" t="str">
        <f>VLOOKUP(C18,'BD  Materiales y equipos'!$B$3:$F$190,2,FALSE())</f>
        <v>Global</v>
      </c>
      <c r="E18" s="191">
        <f>VLOOKUP(C18,'BD  Materiales y equipos'!$B$3:$F$190,3,FALSE())</f>
        <v>0</v>
      </c>
      <c r="F18" s="191" t="str">
        <f>VLOOKUP(C18,'BD  Materiales y equipos'!$B$3:$F$190,4,FALSE())</f>
        <v>150#</v>
      </c>
      <c r="G18" s="133">
        <v>1</v>
      </c>
      <c r="H18" s="194">
        <f>VLOOKUP(C18,'BD  Materiales y equipos'!$B$3:$I$190,8,FALSE())*G18</f>
        <v>7.4191363534161754</v>
      </c>
      <c r="I18" s="594">
        <f t="shared" si="2"/>
        <v>0.54212747380238135</v>
      </c>
      <c r="J18" s="594">
        <f t="shared" si="3"/>
        <v>0</v>
      </c>
      <c r="K18" s="191" t="str">
        <f>VLOOKUP(C18,'BD  Materiales y equipos'!$B$3:$L$190,11,FALSE())</f>
        <v>IMPORTADO</v>
      </c>
      <c r="L18" s="436">
        <f t="shared" si="0"/>
        <v>1</v>
      </c>
      <c r="M18" s="595">
        <f t="shared" si="1"/>
        <v>1</v>
      </c>
      <c r="N18" s="194">
        <f>VLOOKUP(C18,'BD  Materiales y equipos'!$B$3:$K$190,9,FALSE())*0.811905633063426</f>
        <v>7.3071506975708342E-2</v>
      </c>
      <c r="O18" s="194">
        <f>VLOOKUP(C18,'BD  Materiales y equipos'!$B$3:$K$190,10,FALSE())*1.14265904837007</f>
        <v>0</v>
      </c>
    </row>
    <row r="19" spans="1:17" ht="13.5" thickBot="1">
      <c r="A19" s="584" t="str">
        <f>IF(VLOOKUP(C19,'BD  Materiales y equipos'!$B$3:$F$190,1,FALSE())=C19,"CORRECTO","NO LISTADO")</f>
        <v>CORRECTO</v>
      </c>
      <c r="B19" s="147" t="s">
        <v>411</v>
      </c>
      <c r="C19" s="147" t="s">
        <v>896</v>
      </c>
      <c r="D19" s="191" t="str">
        <f>VLOOKUP(C19,'BD  Materiales y equipos'!$B$3:$F$190,2,FALSE())</f>
        <v>Global</v>
      </c>
      <c r="E19" s="191">
        <f>VLOOKUP(C19,'BD  Materiales y equipos'!$B$3:$F$190,3,FALSE())</f>
        <v>0</v>
      </c>
      <c r="F19" s="191">
        <f>VLOOKUP(C19,'BD  Materiales y equipos'!$B$3:$F$190,4,FALSE())</f>
        <v>0</v>
      </c>
      <c r="G19" s="133">
        <v>1</v>
      </c>
      <c r="H19" s="194">
        <f>VLOOKUP(C19,'BD  Materiales y equipos'!$B$3:$I$190,8,FALSE())*G19</f>
        <v>334.15790135786455</v>
      </c>
      <c r="I19" s="594">
        <f t="shared" si="2"/>
        <v>3794.5315817790929</v>
      </c>
      <c r="J19" s="594">
        <f t="shared" si="3"/>
        <v>0</v>
      </c>
      <c r="K19" s="191" t="str">
        <f>VLOOKUP(C19,'BD  Materiales y equipos'!$B$3:$L$190,11,FALSE())</f>
        <v>NACIONAL</v>
      </c>
      <c r="L19" s="436">
        <f t="shared" si="0"/>
        <v>1</v>
      </c>
      <c r="M19" s="595">
        <f t="shared" si="1"/>
        <v>1</v>
      </c>
      <c r="N19" s="194">
        <f>VLOOKUP(C19,'BD  Materiales y equipos'!$B$3:$K$190,9,FALSE())*0.811905633063426</f>
        <v>11.355504587381761</v>
      </c>
      <c r="O19" s="194">
        <f>VLOOKUP(C19,'BD  Materiales y equipos'!$B$3:$K$190,10,FALSE())*1.14265904837007</f>
        <v>0</v>
      </c>
    </row>
    <row r="20" spans="1:17" ht="13.5" thickBot="1">
      <c r="A20" s="584" t="str">
        <f>IF(VLOOKUP(C20,'BD  Materiales y equipos'!$B$3:$F$190,1,FALSE())=C20,"CORRECTO","NO LISTADO")</f>
        <v>CORRECTO</v>
      </c>
      <c r="B20" s="147" t="s">
        <v>411</v>
      </c>
      <c r="C20" s="147" t="s">
        <v>858</v>
      </c>
      <c r="D20" s="191" t="str">
        <f>VLOOKUP(C20,'BD  Materiales y equipos'!$B$3:$F$190,2,FALSE())</f>
        <v>Unidad</v>
      </c>
      <c r="E20" s="191">
        <f>VLOOKUP(C20,'BD  Materiales y equipos'!$B$3:$F$190,3,FALSE())</f>
        <v>0</v>
      </c>
      <c r="F20" s="191" t="str">
        <f>VLOOKUP(C20,'BD  Materiales y equipos'!$B$3:$F$190,4,FALSE())</f>
        <v>150#</v>
      </c>
      <c r="G20" s="133">
        <v>6</v>
      </c>
      <c r="H20" s="194">
        <f>VLOOKUP(C20,'BD  Materiales y equipos'!$B$3:$I$190,8,FALSE())*G20</f>
        <v>141.34345049620222</v>
      </c>
      <c r="I20" s="594">
        <f t="shared" si="2"/>
        <v>832.72180696369242</v>
      </c>
      <c r="J20" s="594">
        <f t="shared" si="3"/>
        <v>1046.9839305826563</v>
      </c>
      <c r="K20" s="191" t="str">
        <f>VLOOKUP(C20,'BD  Materiales y equipos'!$B$3:$L$190,11,FALSE())</f>
        <v>IMPORTADO</v>
      </c>
      <c r="L20" s="436">
        <f t="shared" si="0"/>
        <v>1</v>
      </c>
      <c r="M20" s="595">
        <f t="shared" si="1"/>
        <v>1</v>
      </c>
      <c r="N20" s="194">
        <f>VLOOKUP(C20,'BD  Materiales y equipos'!$B$3:$K$190,9,FALSE())*0.811905633063426</f>
        <v>5.8914778437934547</v>
      </c>
      <c r="O20" s="194">
        <f>VLOOKUP(C20,'BD  Materiales y equipos'!$B$3:$K$190,10,FALSE())*1.14265904837007</f>
        <v>7.4073749219160865</v>
      </c>
    </row>
    <row r="21" spans="1:17" ht="13.5" thickBot="1">
      <c r="A21" s="584" t="str">
        <f>IF(VLOOKUP(C21,'BD  Materiales y equipos'!$B$3:$F$190,1,FALSE())=C21,"CORRECTO","NO LISTADO")</f>
        <v>CORRECTO</v>
      </c>
      <c r="B21" s="147" t="s">
        <v>411</v>
      </c>
      <c r="C21" s="147" t="s">
        <v>877</v>
      </c>
      <c r="D21" s="191" t="str">
        <f>VLOOKUP(C21,'BD  Materiales y equipos'!$B$3:$F$190,2,FALSE())</f>
        <v>Unidad</v>
      </c>
      <c r="E21" s="191">
        <f>VLOOKUP(C21,'BD  Materiales y equipos'!$B$3:$F$190,3,FALSE())</f>
        <v>0</v>
      </c>
      <c r="F21" s="191" t="str">
        <f>VLOOKUP(C21,'BD  Materiales y equipos'!$B$3:$F$190,4,FALSE())</f>
        <v>150#</v>
      </c>
      <c r="G21" s="133">
        <v>6</v>
      </c>
      <c r="H21" s="194">
        <f>VLOOKUP(C21,'BD  Materiales y equipos'!$B$3:$I$190,8,FALSE())*G21</f>
        <v>88.842960146138893</v>
      </c>
      <c r="I21" s="594">
        <f t="shared" si="2"/>
        <v>776.32654248500853</v>
      </c>
      <c r="J21" s="594">
        <f t="shared" si="3"/>
        <v>658.09311497530064</v>
      </c>
      <c r="K21" s="191" t="str">
        <f>VLOOKUP(C21,'BD  Materiales y equipos'!$B$3:$L$190,11,FALSE())</f>
        <v>IMPORTADO</v>
      </c>
      <c r="L21" s="436">
        <f t="shared" si="0"/>
        <v>1</v>
      </c>
      <c r="M21" s="595">
        <f t="shared" si="1"/>
        <v>1</v>
      </c>
      <c r="N21" s="194">
        <f>VLOOKUP(C21,'BD  Materiales y equipos'!$B$3:$K$190,9,FALSE())*0.811905633063426</f>
        <v>8.7381886106453379</v>
      </c>
      <c r="O21" s="194">
        <f>VLOOKUP(C21,'BD  Materiales y equipos'!$B$3:$K$190,10,FALSE())*1.14265904837007</f>
        <v>7.4073749219160989</v>
      </c>
    </row>
    <row r="22" spans="1:17" ht="13.5" thickBot="1">
      <c r="A22" s="584" t="str">
        <f>IF(VLOOKUP(C22,'BD  Materiales y equipos'!$B$3:$F$190,1,FALSE())=C22,"CORRECTO","NO LISTADO")</f>
        <v>CORRECTO</v>
      </c>
      <c r="B22" s="147" t="s">
        <v>411</v>
      </c>
      <c r="C22" s="147" t="s">
        <v>878</v>
      </c>
      <c r="D22" s="191" t="str">
        <f>VLOOKUP(C22,'BD  Materiales y equipos'!$B$3:$F$190,2,FALSE())</f>
        <v>Unidad</v>
      </c>
      <c r="E22" s="191">
        <f>VLOOKUP(C22,'BD  Materiales y equipos'!$B$3:$F$190,3,FALSE())</f>
        <v>0</v>
      </c>
      <c r="F22" s="191" t="str">
        <f>VLOOKUP(C22,'BD  Materiales y equipos'!$B$3:$F$190,4,FALSE())</f>
        <v>150#</v>
      </c>
      <c r="G22" s="133">
        <v>10</v>
      </c>
      <c r="H22" s="194">
        <f>VLOOKUP(C22,'BD  Materiales y equipos'!$B$3:$I$190,8,FALSE())*G22</f>
        <v>61.920851010945285</v>
      </c>
      <c r="I22" s="594">
        <f t="shared" si="2"/>
        <v>245.76445479041283</v>
      </c>
      <c r="J22" s="594">
        <f t="shared" si="3"/>
        <v>458.67095892217844</v>
      </c>
      <c r="K22" s="191" t="str">
        <f>VLOOKUP(C22,'BD  Materiales y equipos'!$B$3:$L$190,11,FALSE())</f>
        <v>IMPORTADO</v>
      </c>
      <c r="L22" s="436">
        <f t="shared" si="0"/>
        <v>1</v>
      </c>
      <c r="M22" s="595">
        <f t="shared" si="1"/>
        <v>1</v>
      </c>
      <c r="N22" s="194">
        <f>VLOOKUP(C22,'BD  Materiales y equipos'!$B$3:$K$190,9,FALSE())*0.811905633063426</f>
        <v>3.969009643407047</v>
      </c>
      <c r="O22" s="194">
        <f>VLOOKUP(C22,'BD  Materiales y equipos'!$B$3:$K$190,10,FALSE())*1.14265904837007</f>
        <v>7.4073749219160865</v>
      </c>
    </row>
    <row r="23" spans="1:17" ht="26.25" thickBot="1">
      <c r="A23" s="584" t="str">
        <f>IF(VLOOKUP(C23,'BD  Materiales y equipos'!$B$3:$F$190,1,FALSE())=C23,"CORRECTO","NO LISTADO")</f>
        <v>CORRECTO</v>
      </c>
      <c r="B23" s="147" t="s">
        <v>412</v>
      </c>
      <c r="C23" s="147" t="s">
        <v>879</v>
      </c>
      <c r="D23" s="191" t="str">
        <f>VLOOKUP(C23,'BD  Materiales y equipos'!$B$3:$F$190,2,FALSE())</f>
        <v>Unidad</v>
      </c>
      <c r="E23" s="191">
        <f>VLOOKUP(C23,'BD  Materiales y equipos'!$B$3:$F$190,3,FALSE())</f>
        <v>0</v>
      </c>
      <c r="F23" s="191" t="str">
        <f>VLOOKUP(C23,'BD  Materiales y equipos'!$B$3:$F$190,4,FALSE())</f>
        <v>150#</v>
      </c>
      <c r="G23" s="133">
        <v>1</v>
      </c>
      <c r="H23" s="194">
        <f>VLOOKUP(C23,'BD  Materiales y equipos'!$B$3:$I$190,8,FALSE())*G23</f>
        <v>534.17781744596459</v>
      </c>
      <c r="I23" s="594">
        <f t="shared" si="2"/>
        <v>8904.4174439350754</v>
      </c>
      <c r="J23" s="594">
        <f t="shared" si="3"/>
        <v>5984.9814927557254</v>
      </c>
      <c r="K23" s="191" t="str">
        <f>VLOOKUP(C23,'BD  Materiales y equipos'!$B$3:$L$190,11,FALSE())</f>
        <v>NACIONAL</v>
      </c>
      <c r="L23" s="436">
        <f t="shared" si="0"/>
        <v>1</v>
      </c>
      <c r="M23" s="595">
        <f t="shared" si="1"/>
        <v>1</v>
      </c>
      <c r="N23" s="194">
        <f>VLOOKUP(C23,'BD  Materiales y equipos'!$B$3:$K$190,9,FALSE())*0.811905633063426</f>
        <v>16.669388269451701</v>
      </c>
      <c r="O23" s="194">
        <f>VLOOKUP(C23,'BD  Materiales y equipos'!$B$3:$K$190,10,FALSE())*1.14265904837007</f>
        <v>11.204099641148321</v>
      </c>
    </row>
    <row r="24" spans="1:17" ht="26.25" thickBot="1">
      <c r="A24" s="585" t="str">
        <f>IF(VLOOKUP(C24,'BD  Materiales y equipos'!$B$3:$F$190,1,FALSE())=C24,"CORRECTO","NO LISTADO")</f>
        <v>CORRECTO</v>
      </c>
      <c r="B24" s="586" t="s">
        <v>412</v>
      </c>
      <c r="C24" s="586" t="s">
        <v>880</v>
      </c>
      <c r="D24" s="587" t="str">
        <f>VLOOKUP(C24,'BD  Materiales y equipos'!$B$3:$F$190,2,FALSE())</f>
        <v>Unidad</v>
      </c>
      <c r="E24" s="587">
        <f>VLOOKUP(C24,'BD  Materiales y equipos'!$B$3:$F$190,3,FALSE())</f>
        <v>0</v>
      </c>
      <c r="F24" s="587" t="str">
        <f>VLOOKUP(C24,'BD  Materiales y equipos'!$B$3:$F$190,4,FALSE())</f>
        <v>150#</v>
      </c>
      <c r="G24" s="599">
        <v>1</v>
      </c>
      <c r="H24" s="589">
        <f>VLOOKUP(C24,'BD  Materiales y equipos'!$B$3:$I$190,8,FALSE())*G24</f>
        <v>83.094327158261166</v>
      </c>
      <c r="I24" s="589">
        <f t="shared" si="2"/>
        <v>45270.081143621152</v>
      </c>
      <c r="J24" s="589">
        <f t="shared" si="3"/>
        <v>18248.864325848754</v>
      </c>
      <c r="K24" s="587" t="str">
        <f>VLOOKUP(C24,'BD  Materiales y equipos'!$B$3:$L$190,11,FALSE())</f>
        <v>NACIONAL</v>
      </c>
      <c r="L24" s="436">
        <f>ppi_usa_bom_ind/ppi_usa_bom_ind_base</f>
        <v>1</v>
      </c>
      <c r="M24" s="595">
        <f t="shared" si="1"/>
        <v>1</v>
      </c>
      <c r="N24" s="589">
        <f>VLOOKUP(C24,'BD  Materiales y equipos'!$B$3:$K$190,9,FALSE())*1.14265904837007</f>
        <v>544.80351056215807</v>
      </c>
      <c r="O24" s="589">
        <f>VLOOKUP(C24,'BD  Materiales y equipos'!$B$3:$K$190,10,FALSE())*1.14265904837007</f>
        <v>219.61624758200438</v>
      </c>
      <c r="Q24" s="413"/>
    </row>
  </sheetData>
  <conditionalFormatting sqref="A2:A24">
    <cfRule type="cellIs" dxfId="9" priority="2" operator="equal">
      <formula>"CORRECTO"</formula>
    </cfRule>
    <cfRule type="cellIs" dxfId="8"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26">
    <tabColor theme="5" tint="0.59999389629810485"/>
  </sheetPr>
  <dimension ref="A1:O24"/>
  <sheetViews>
    <sheetView showGridLines="0" showRowColHeaders="0" topLeftCell="J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5" customWidth="1"/>
    <col min="2" max="2" width="19.140625" customWidth="1"/>
    <col min="3" max="3" width="81.42578125" customWidth="1"/>
    <col min="4" max="4" width="10.7109375" customWidth="1"/>
    <col min="5" max="5" width="14" customWidth="1"/>
    <col min="6" max="6" width="6.85546875" customWidth="1"/>
    <col min="7" max="7" width="13.42578125" customWidth="1"/>
    <col min="8" max="8" width="20.140625" style="190" customWidth="1"/>
    <col min="9" max="9" width="16.28515625" customWidth="1"/>
    <col min="10" max="10" width="12.42578125" customWidth="1"/>
    <col min="11" max="11" width="15.42578125" customWidth="1"/>
    <col min="12" max="13" width="16" customWidth="1"/>
    <col min="14" max="15" width="23.5703125" customWidth="1"/>
    <col min="16" max="1025" width="10.42578125" customWidth="1"/>
  </cols>
  <sheetData>
    <row r="1" spans="1:15" ht="57" thickBot="1">
      <c r="A1" s="596" t="s">
        <v>955</v>
      </c>
      <c r="B1" s="597" t="s">
        <v>956</v>
      </c>
      <c r="C1" s="597" t="s">
        <v>957</v>
      </c>
      <c r="D1" s="597" t="s">
        <v>699</v>
      </c>
      <c r="E1" s="597" t="s">
        <v>700</v>
      </c>
      <c r="F1" s="597" t="s">
        <v>701</v>
      </c>
      <c r="G1" s="597" t="s">
        <v>673</v>
      </c>
      <c r="H1" s="598" t="s">
        <v>958</v>
      </c>
      <c r="I1" s="597" t="s">
        <v>964</v>
      </c>
      <c r="J1" s="597" t="s">
        <v>960</v>
      </c>
      <c r="K1" s="604" t="s">
        <v>706</v>
      </c>
      <c r="L1" s="605" t="s">
        <v>961</v>
      </c>
      <c r="M1" s="197" t="s">
        <v>962</v>
      </c>
      <c r="N1" s="597" t="s">
        <v>965</v>
      </c>
      <c r="O1" s="597" t="s">
        <v>966</v>
      </c>
    </row>
    <row r="2" spans="1:15" ht="13.5" thickBot="1">
      <c r="A2" s="590" t="str">
        <f>IF(VLOOKUP(C2,'BD  Materiales y equipos'!$B$3:$F$190,1,FALSE())=C2,"CORRECTO","NO LISTADO")</f>
        <v>CORRECTO</v>
      </c>
      <c r="B2" s="591" t="s">
        <v>411</v>
      </c>
      <c r="C2" s="591" t="s">
        <v>830</v>
      </c>
      <c r="D2" s="592" t="s">
        <v>1018</v>
      </c>
      <c r="E2" s="592">
        <v>40</v>
      </c>
      <c r="F2" s="592"/>
      <c r="G2" s="601">
        <v>500</v>
      </c>
      <c r="H2" s="594">
        <f>VLOOKUP(C2,'BD  Materiales y equipos'!$B$3:$I$190,8,FALSE())*G2</f>
        <v>4199.955007571717</v>
      </c>
      <c r="I2" s="594">
        <f>N2*H2*L2</f>
        <v>9880.4701271856575</v>
      </c>
      <c r="J2" s="594">
        <f>O2*H2*M2</f>
        <v>15684.94328499372</v>
      </c>
      <c r="K2" s="592" t="str">
        <f>VLOOKUP(C2,'BD  Materiales y equipos'!$B$3:$L$190,11,FALSE())</f>
        <v>IMPORTADO</v>
      </c>
      <c r="L2" s="603">
        <f t="shared" ref="L2:L23" si="0">+acero/acero_base</f>
        <v>1</v>
      </c>
      <c r="M2" s="595">
        <f t="shared" ref="M2:M24" si="1">(0.65*ipc/ipc_base*trm_base/trm+0.35*fac_mano_obra)</f>
        <v>1</v>
      </c>
      <c r="N2" s="594">
        <f>VLOOKUP(C2,'BD  Materiales y equipos'!$B$3:$K$190,9,FALSE())*0.811905633063426</f>
        <v>2.3525180887350117</v>
      </c>
      <c r="O2" s="594">
        <f>VLOOKUP(C2,'BD  Materiales y equipos'!$B$3:$K$190,10,FALSE())*1.14265904837007</f>
        <v>3.7345503122573365</v>
      </c>
    </row>
    <row r="3" spans="1:15" ht="13.5" thickBot="1">
      <c r="A3" s="584" t="str">
        <f>IF(VLOOKUP(C3,'BD  Materiales y equipos'!$B$3:$F$190,1,FALSE())=C3,"CORRECTO","NO LISTADO")</f>
        <v>CORRECTO</v>
      </c>
      <c r="B3" s="147" t="s">
        <v>411</v>
      </c>
      <c r="C3" s="147" t="s">
        <v>712</v>
      </c>
      <c r="D3" s="191" t="s">
        <v>1018</v>
      </c>
      <c r="E3" s="191">
        <v>40</v>
      </c>
      <c r="F3" s="191"/>
      <c r="G3" s="133">
        <v>400</v>
      </c>
      <c r="H3" s="194">
        <f>VLOOKUP(C3,'BD  Materiales y equipos'!$B$3:$I$190,8,FALSE())*G3</f>
        <v>1911.3990823102408</v>
      </c>
      <c r="I3" s="194">
        <f t="shared" ref="I3:I24" si="2">N3*H3*L3</f>
        <v>5975.4494890218075</v>
      </c>
      <c r="J3" s="194">
        <f t="shared" ref="J3:J24" si="3">O3*H3*M3</f>
        <v>7932.5867109454921</v>
      </c>
      <c r="K3" s="191" t="str">
        <f>VLOOKUP(C3,'BD  Materiales y equipos'!$B$3:$L$190,11,FALSE())</f>
        <v>IMPORTADO</v>
      </c>
      <c r="L3" s="436">
        <f t="shared" si="0"/>
        <v>1</v>
      </c>
      <c r="M3" s="595">
        <f t="shared" si="1"/>
        <v>1</v>
      </c>
      <c r="N3" s="194">
        <f>VLOOKUP(C3,'BD  Materiales y equipos'!$B$3:$K$190,9,FALSE())*0.811905633063426</f>
        <v>3.1262176195038727</v>
      </c>
      <c r="O3" s="194">
        <f>VLOOKUP(C3,'BD  Materiales y equipos'!$B$3:$K$190,10,FALSE())*1.14265904837007</f>
        <v>4.1501467612706255</v>
      </c>
    </row>
    <row r="4" spans="1:15" ht="13.5" thickBot="1">
      <c r="A4" s="584" t="str">
        <f>IF(VLOOKUP(C4,'BD  Materiales y equipos'!$B$3:$F$190,1,FALSE())=C4,"CORRECTO","NO LISTADO")</f>
        <v>CORRECTO</v>
      </c>
      <c r="B4" s="147" t="s">
        <v>411</v>
      </c>
      <c r="C4" s="147" t="s">
        <v>713</v>
      </c>
      <c r="D4" s="191" t="s">
        <v>1018</v>
      </c>
      <c r="E4" s="191">
        <v>40</v>
      </c>
      <c r="F4" s="191"/>
      <c r="G4" s="133">
        <v>100</v>
      </c>
      <c r="H4" s="194">
        <f>VLOOKUP(C4,'BD  Materiales y equipos'!$B$3:$I$190,8,FALSE())*G4</f>
        <v>161.72697410859755</v>
      </c>
      <c r="I4" s="194">
        <f t="shared" si="2"/>
        <v>385.51287025947175</v>
      </c>
      <c r="J4" s="194">
        <f t="shared" si="3"/>
        <v>671.19067780689443</v>
      </c>
      <c r="K4" s="191" t="str">
        <f>VLOOKUP(C4,'BD  Materiales y equipos'!$B$3:$L$190,11,FALSE())</f>
        <v>IMPORTADO</v>
      </c>
      <c r="L4" s="436">
        <f t="shared" si="0"/>
        <v>1</v>
      </c>
      <c r="M4" s="595">
        <f t="shared" si="1"/>
        <v>1</v>
      </c>
      <c r="N4" s="194">
        <f>VLOOKUP(C4,'BD  Materiales y equipos'!$B$3:$K$190,9,FALSE())*0.811905633063426</f>
        <v>2.383726477196098</v>
      </c>
      <c r="O4" s="194">
        <f>VLOOKUP(C4,'BD  Materiales y equipos'!$B$3:$K$190,10,FALSE())*1.14265904837007</f>
        <v>4.1501467612706255</v>
      </c>
    </row>
    <row r="5" spans="1:15" ht="13.5" thickBot="1">
      <c r="A5" s="584" t="str">
        <f>IF(VLOOKUP(C5,'BD  Materiales y equipos'!$B$3:$F$190,1,FALSE())=C5,"CORRECTO","NO LISTADO")</f>
        <v>CORRECTO</v>
      </c>
      <c r="B5" s="147" t="s">
        <v>411</v>
      </c>
      <c r="C5" s="147" t="s">
        <v>833</v>
      </c>
      <c r="D5" s="191" t="s">
        <v>984</v>
      </c>
      <c r="E5" s="191" t="s">
        <v>716</v>
      </c>
      <c r="F5" s="191"/>
      <c r="G5" s="133">
        <v>10</v>
      </c>
      <c r="H5" s="194">
        <f>VLOOKUP(C5,'BD  Materiales y equipos'!$B$3:$I$190,8,FALSE())*G5</f>
        <v>20.191581851395206</v>
      </c>
      <c r="I5" s="194">
        <f t="shared" si="2"/>
        <v>1732.3984607285047</v>
      </c>
      <c r="J5" s="194">
        <f t="shared" si="3"/>
        <v>577.67062815268378</v>
      </c>
      <c r="K5" s="191" t="str">
        <f>VLOOKUP(C5,'BD  Materiales y equipos'!$B$3:$L$190,11,FALSE())</f>
        <v>IMPORTADO</v>
      </c>
      <c r="L5" s="436">
        <f t="shared" si="0"/>
        <v>1</v>
      </c>
      <c r="M5" s="595">
        <f t="shared" si="1"/>
        <v>1</v>
      </c>
      <c r="N5" s="194">
        <f>VLOOKUP(C5,'BD  Materiales y equipos'!$B$3:$K$190,9,FALSE())*0.811905633063426</f>
        <v>85.79805552029093</v>
      </c>
      <c r="O5" s="194">
        <f>VLOOKUP(C5,'BD  Materiales y equipos'!$B$3:$K$190,10,FALSE())*1.14265904837007</f>
        <v>28.609478564096136</v>
      </c>
    </row>
    <row r="6" spans="1:15" ht="13.5" thickBot="1">
      <c r="A6" s="584" t="str">
        <f>IF(VLOOKUP(C6,'BD  Materiales y equipos'!$B$3:$F$190,1,FALSE())=C6,"CORRECTO","NO LISTADO")</f>
        <v>CORRECTO</v>
      </c>
      <c r="B6" s="147" t="s">
        <v>411</v>
      </c>
      <c r="C6" s="147" t="s">
        <v>719</v>
      </c>
      <c r="D6" s="191" t="s">
        <v>984</v>
      </c>
      <c r="E6" s="191" t="s">
        <v>716</v>
      </c>
      <c r="F6" s="191"/>
      <c r="G6" s="133">
        <v>16</v>
      </c>
      <c r="H6" s="194">
        <f>VLOOKUP(C6,'BD  Materiales y equipos'!$B$3:$I$190,8,FALSE())*G6</f>
        <v>12.922612384892929</v>
      </c>
      <c r="I6" s="194">
        <f t="shared" si="2"/>
        <v>1576.7476393612346</v>
      </c>
      <c r="J6" s="194">
        <f t="shared" si="3"/>
        <v>257.94891961168435</v>
      </c>
      <c r="K6" s="191" t="str">
        <f>VLOOKUP(C6,'BD  Materiales y equipos'!$B$3:$L$190,11,FALSE())</f>
        <v>IMPORTADO</v>
      </c>
      <c r="L6" s="436">
        <f t="shared" si="0"/>
        <v>1</v>
      </c>
      <c r="M6" s="595">
        <f t="shared" si="1"/>
        <v>1</v>
      </c>
      <c r="N6" s="194">
        <f>VLOOKUP(C6,'BD  Materiales y equipos'!$B$3:$K$190,9,FALSE())*0.811905633063426</f>
        <v>122.01461998539229</v>
      </c>
      <c r="O6" s="194">
        <f>VLOOKUP(C6,'BD  Materiales y equipos'!$B$3:$K$190,10,FALSE())*1.14265904837007</f>
        <v>19.961050593240525</v>
      </c>
    </row>
    <row r="7" spans="1:15" ht="13.5" thickBot="1">
      <c r="A7" s="584" t="str">
        <f>IF(VLOOKUP(C7,'BD  Materiales y equipos'!$B$3:$F$190,1,FALSE())=C7,"CORRECTO","NO LISTADO")</f>
        <v>CORRECTO</v>
      </c>
      <c r="B7" s="147" t="s">
        <v>411</v>
      </c>
      <c r="C7" s="147" t="s">
        <v>720</v>
      </c>
      <c r="D7" s="191" t="s">
        <v>984</v>
      </c>
      <c r="E7" s="191" t="s">
        <v>716</v>
      </c>
      <c r="F7" s="191"/>
      <c r="G7" s="133">
        <v>16</v>
      </c>
      <c r="H7" s="194">
        <f>VLOOKUP(C7,'BD  Materiales y equipos'!$B$3:$I$190,8,FALSE())*G7</f>
        <v>2.1537687308154885</v>
      </c>
      <c r="I7" s="194">
        <f t="shared" si="2"/>
        <v>532.00776095807021</v>
      </c>
      <c r="J7" s="194">
        <f t="shared" si="3"/>
        <v>107.34445905123452</v>
      </c>
      <c r="K7" s="191" t="str">
        <f>VLOOKUP(C7,'BD  Materiales y equipos'!$B$3:$L$190,11,FALSE())</f>
        <v>IMPORTADO</v>
      </c>
      <c r="L7" s="436">
        <f t="shared" si="0"/>
        <v>1</v>
      </c>
      <c r="M7" s="595">
        <f t="shared" si="1"/>
        <v>1</v>
      </c>
      <c r="N7" s="194">
        <f>VLOOKUP(C7,'BD  Materiales y equipos'!$B$3:$K$190,9,FALSE())*0.811905633063426</f>
        <v>247.01248251321505</v>
      </c>
      <c r="O7" s="194">
        <f>VLOOKUP(C7,'BD  Materiales y equipos'!$B$3:$K$190,10,FALSE())*1.14265904837007</f>
        <v>49.840290424585348</v>
      </c>
    </row>
    <row r="8" spans="1:15" ht="13.5" thickBot="1">
      <c r="A8" s="584" t="str">
        <f>IF(VLOOKUP(C8,'BD  Materiales y equipos'!$B$3:$F$190,1,FALSE())=C8,"CORRECTO","NO LISTADO")</f>
        <v>CORRECTO</v>
      </c>
      <c r="B8" s="147" t="s">
        <v>411</v>
      </c>
      <c r="C8" s="147" t="s">
        <v>852</v>
      </c>
      <c r="D8" s="191" t="s">
        <v>984</v>
      </c>
      <c r="E8" s="191"/>
      <c r="F8" s="191" t="s">
        <v>722</v>
      </c>
      <c r="G8" s="133">
        <v>20</v>
      </c>
      <c r="H8" s="194">
        <f>VLOOKUP(C8,'BD  Materiales y equipos'!$B$3:$I$190,8,FALSE())*G8</f>
        <v>67.306404998191539</v>
      </c>
      <c r="I8" s="194">
        <f t="shared" si="2"/>
        <v>2187.8223400550728</v>
      </c>
      <c r="J8" s="194">
        <f t="shared" si="3"/>
        <v>885.61660939890453</v>
      </c>
      <c r="K8" s="191" t="str">
        <f>VLOOKUP(C8,'BD  Materiales y equipos'!$B$3:$L$190,11,FALSE())</f>
        <v>IMPORTADO</v>
      </c>
      <c r="L8" s="436">
        <f t="shared" si="0"/>
        <v>1</v>
      </c>
      <c r="M8" s="595">
        <f t="shared" si="1"/>
        <v>1</v>
      </c>
      <c r="N8" s="194">
        <f>VLOOKUP(C8,'BD  Materiales y equipos'!$B$3:$K$190,9,FALSE())*0.811905633063426</f>
        <v>32.505410742318766</v>
      </c>
      <c r="O8" s="194">
        <f>VLOOKUP(C8,'BD  Materiales y equipos'!$B$3:$K$190,10,FALSE())*1.14265904837007</f>
        <v>13.15798413869676</v>
      </c>
    </row>
    <row r="9" spans="1:15" ht="13.5" thickBot="1">
      <c r="A9" s="584" t="str">
        <f>IF(VLOOKUP(C9,'BD  Materiales y equipos'!$B$3:$F$190,1,FALSE())=C9,"CORRECTO","NO LISTADO")</f>
        <v>CORRECTO</v>
      </c>
      <c r="B9" s="147" t="s">
        <v>411</v>
      </c>
      <c r="C9" s="147" t="s">
        <v>724</v>
      </c>
      <c r="D9" s="191" t="s">
        <v>984</v>
      </c>
      <c r="E9" s="191"/>
      <c r="F9" s="191" t="s">
        <v>722</v>
      </c>
      <c r="G9" s="133">
        <v>12</v>
      </c>
      <c r="H9" s="194">
        <f>VLOOKUP(C9,'BD  Materiales y equipos'!$B$3:$I$190,8,FALSE())*G9</f>
        <v>25.845224769785862</v>
      </c>
      <c r="I9" s="194">
        <f t="shared" si="2"/>
        <v>745.96740395207667</v>
      </c>
      <c r="J9" s="194">
        <f t="shared" si="3"/>
        <v>609.40733518675563</v>
      </c>
      <c r="K9" s="191" t="str">
        <f>VLOOKUP(C9,'BD  Materiales y equipos'!$B$3:$L$190,11,FALSE())</f>
        <v>IMPORTADO</v>
      </c>
      <c r="L9" s="436">
        <f t="shared" si="0"/>
        <v>1</v>
      </c>
      <c r="M9" s="595">
        <f t="shared" si="1"/>
        <v>1</v>
      </c>
      <c r="N9" s="194">
        <f>VLOOKUP(C9,'BD  Materiales y equipos'!$B$3:$K$190,9,FALSE())*0.811905633063426</f>
        <v>28.862871598011537</v>
      </c>
      <c r="O9" s="194">
        <f>VLOOKUP(C9,'BD  Materiales y equipos'!$B$3:$K$190,10,FALSE())*1.14265904837007</f>
        <v>23.579107576544587</v>
      </c>
    </row>
    <row r="10" spans="1:15" ht="13.5" thickBot="1">
      <c r="A10" s="584" t="str">
        <f>IF(VLOOKUP(C10,'BD  Materiales y equipos'!$B$3:$F$190,1,FALSE())=C10,"CORRECTO","NO LISTADO")</f>
        <v>CORRECTO</v>
      </c>
      <c r="B10" s="147" t="s">
        <v>411</v>
      </c>
      <c r="C10" s="147" t="s">
        <v>725</v>
      </c>
      <c r="D10" s="191" t="s">
        <v>984</v>
      </c>
      <c r="E10" s="191"/>
      <c r="F10" s="191" t="s">
        <v>722</v>
      </c>
      <c r="G10" s="133">
        <v>12</v>
      </c>
      <c r="H10" s="194">
        <f>VLOOKUP(C10,'BD  Materiales y equipos'!$B$3:$I$190,8,FALSE())*G10</f>
        <v>10.499622562725506</v>
      </c>
      <c r="I10" s="194">
        <f t="shared" si="2"/>
        <v>346.96158323352381</v>
      </c>
      <c r="J10" s="194">
        <f t="shared" si="3"/>
        <v>443.64854001595796</v>
      </c>
      <c r="K10" s="191" t="str">
        <f>VLOOKUP(C10,'BD  Materiales y equipos'!$B$3:$L$190,11,FALSE())</f>
        <v>IMPORTADO</v>
      </c>
      <c r="L10" s="436">
        <f t="shared" si="0"/>
        <v>1</v>
      </c>
      <c r="M10" s="595">
        <f t="shared" si="1"/>
        <v>1</v>
      </c>
      <c r="N10" s="194">
        <f>VLOOKUP(C10,'BD  Materiales y equipos'!$B$3:$K$190,9,FALSE())*0.811905633063426</f>
        <v>33.045148162302993</v>
      </c>
      <c r="O10" s="194">
        <f>VLOOKUP(C10,'BD  Materiales y equipos'!$B$3:$K$190,10,FALSE())*1.14265904837007</f>
        <v>42.253760777167891</v>
      </c>
    </row>
    <row r="11" spans="1:15" ht="13.5" thickBot="1">
      <c r="A11" s="584" t="str">
        <f>IF(VLOOKUP(C11,'BD  Materiales y equipos'!$B$3:$F$190,1,FALSE())=C11,"CORRECTO","NO LISTADO")</f>
        <v>CORRECTO</v>
      </c>
      <c r="B11" s="147" t="s">
        <v>411</v>
      </c>
      <c r="C11" s="147" t="s">
        <v>853</v>
      </c>
      <c r="D11" s="191" t="s">
        <v>984</v>
      </c>
      <c r="E11" s="191" t="s">
        <v>716</v>
      </c>
      <c r="F11" s="191"/>
      <c r="G11" s="133">
        <v>8</v>
      </c>
      <c r="H11" s="194">
        <f>VLOOKUP(C11,'BD  Materiales y equipos'!$B$3:$I$190,8,FALSE())*G11</f>
        <v>31.219725775175267</v>
      </c>
      <c r="I11" s="194">
        <f t="shared" si="2"/>
        <v>2399.0552596325019</v>
      </c>
      <c r="J11" s="194">
        <f t="shared" si="3"/>
        <v>401.47717275936674</v>
      </c>
      <c r="K11" s="191" t="str">
        <f>VLOOKUP(C11,'BD  Materiales y equipos'!$B$3:$L$190,11,FALSE())</f>
        <v>IMPORTADO</v>
      </c>
      <c r="L11" s="436">
        <f t="shared" si="0"/>
        <v>1</v>
      </c>
      <c r="M11" s="595">
        <f t="shared" si="1"/>
        <v>1</v>
      </c>
      <c r="N11" s="194">
        <f>VLOOKUP(C11,'BD  Materiales y equipos'!$B$3:$K$190,9,FALSE())*0.811905633063426</f>
        <v>76.844213075700338</v>
      </c>
      <c r="O11" s="194">
        <f>VLOOKUP(C11,'BD  Materiales y equipos'!$B$3:$K$190,10,FALSE())*1.14265904837007</f>
        <v>12.859727713515218</v>
      </c>
    </row>
    <row r="12" spans="1:15" ht="13.5" thickBot="1">
      <c r="A12" s="584" t="str">
        <f>IF(VLOOKUP(C12,'BD  Materiales y equipos'!$B$3:$F$190,1,FALSE())=C12,"CORRECTO","NO LISTADO")</f>
        <v>CORRECTO</v>
      </c>
      <c r="B12" s="147" t="s">
        <v>411</v>
      </c>
      <c r="C12" s="147" t="s">
        <v>874</v>
      </c>
      <c r="D12" s="191" t="s">
        <v>984</v>
      </c>
      <c r="E12" s="191" t="s">
        <v>716</v>
      </c>
      <c r="F12" s="191"/>
      <c r="G12" s="133">
        <v>10</v>
      </c>
      <c r="H12" s="194">
        <f>VLOOKUP(C12,'BD  Materiales y equipos'!$B$3:$I$190,8,FALSE())*G12</f>
        <v>17.499370937875842</v>
      </c>
      <c r="I12" s="194">
        <f t="shared" si="2"/>
        <v>1696.2566291416795</v>
      </c>
      <c r="J12" s="194">
        <f t="shared" si="3"/>
        <v>316.91767114610224</v>
      </c>
      <c r="K12" s="191" t="str">
        <f>VLOOKUP(C12,'BD  Materiales y equipos'!$B$3:$L$190,11,FALSE())</f>
        <v>IMPORTADO</v>
      </c>
      <c r="L12" s="436">
        <f t="shared" si="0"/>
        <v>1</v>
      </c>
      <c r="M12" s="595">
        <f t="shared" si="1"/>
        <v>1</v>
      </c>
      <c r="N12" s="194">
        <f>VLOOKUP(C12,'BD  Materiales y equipos'!$B$3:$K$190,9,FALSE())*0.811905633063426</f>
        <v>96.932434609422558</v>
      </c>
      <c r="O12" s="194">
        <f>VLOOKUP(C12,'BD  Materiales y equipos'!$B$3:$K$190,10,FALSE())*1.14265904837007</f>
        <v>18.11023220612816</v>
      </c>
    </row>
    <row r="13" spans="1:15" ht="13.5" thickBot="1">
      <c r="A13" s="584" t="str">
        <f>IF(VLOOKUP(C13,'BD  Materiales y equipos'!$B$3:$F$190,1,FALSE())=C13,"CORRECTO","NO LISTADO")</f>
        <v>CORRECTO</v>
      </c>
      <c r="B13" s="147" t="s">
        <v>411</v>
      </c>
      <c r="C13" s="147" t="s">
        <v>875</v>
      </c>
      <c r="D13" s="191" t="s">
        <v>984</v>
      </c>
      <c r="E13" s="191" t="s">
        <v>716</v>
      </c>
      <c r="F13" s="191"/>
      <c r="G13" s="133">
        <v>10</v>
      </c>
      <c r="H13" s="194">
        <f>VLOOKUP(C13,'BD  Materiales y equipos'!$B$3:$I$190,8,FALSE())*G13</f>
        <v>34.998741875751683</v>
      </c>
      <c r="I13" s="194">
        <f t="shared" si="2"/>
        <v>2574.4602165224378</v>
      </c>
      <c r="J13" s="194">
        <f t="shared" si="3"/>
        <v>441.24930474291199</v>
      </c>
      <c r="K13" s="191" t="str">
        <f>VLOOKUP(C13,'BD  Materiales y equipos'!$B$3:$L$190,11,FALSE())</f>
        <v>IMPORTADO</v>
      </c>
      <c r="L13" s="436">
        <f t="shared" si="0"/>
        <v>1</v>
      </c>
      <c r="M13" s="595">
        <f t="shared" si="1"/>
        <v>1</v>
      </c>
      <c r="N13" s="194">
        <f>VLOOKUP(C13,'BD  Materiales y equipos'!$B$3:$K$190,9,FALSE())*0.811905633063426</f>
        <v>73.558650355546391</v>
      </c>
      <c r="O13" s="194">
        <f>VLOOKUP(C13,'BD  Materiales y equipos'!$B$3:$K$190,10,FALSE())*1.14265904837007</f>
        <v>12.607576189720822</v>
      </c>
    </row>
    <row r="14" spans="1:15" ht="13.5" thickBot="1">
      <c r="A14" s="584" t="str">
        <f>IF(VLOOKUP(C14,'BD  Materiales y equipos'!$B$3:$F$190,1,FALSE())=C14,"CORRECTO","NO LISTADO")</f>
        <v>CORRECTO</v>
      </c>
      <c r="B14" s="147" t="s">
        <v>411</v>
      </c>
      <c r="C14" s="147" t="s">
        <v>876</v>
      </c>
      <c r="D14" s="191" t="s">
        <v>984</v>
      </c>
      <c r="E14" s="191" t="s">
        <v>716</v>
      </c>
      <c r="F14" s="191"/>
      <c r="G14" s="133">
        <v>20</v>
      </c>
      <c r="H14" s="194">
        <f>VLOOKUP(C14,'BD  Materiales y equipos'!$B$3:$I$190,8,FALSE())*G14</f>
        <v>30.960425505472642</v>
      </c>
      <c r="I14" s="194">
        <f t="shared" si="2"/>
        <v>3055.1894968063157</v>
      </c>
      <c r="J14" s="194">
        <f t="shared" si="3"/>
        <v>486.93844780239198</v>
      </c>
      <c r="K14" s="191" t="str">
        <f>VLOOKUP(C14,'BD  Materiales y equipos'!$B$3:$L$190,11,FALSE())</f>
        <v>IMPORTADO</v>
      </c>
      <c r="L14" s="436">
        <f t="shared" si="0"/>
        <v>1</v>
      </c>
      <c r="M14" s="595">
        <f t="shared" si="1"/>
        <v>1</v>
      </c>
      <c r="N14" s="194">
        <f>VLOOKUP(C14,'BD  Materiales y equipos'!$B$3:$K$190,9,FALSE())*0.811905633063426</f>
        <v>98.680475055689172</v>
      </c>
      <c r="O14" s="194">
        <f>VLOOKUP(C14,'BD  Materiales y equipos'!$B$3:$K$190,10,FALSE())*1.14265904837007</f>
        <v>15.727769882113524</v>
      </c>
    </row>
    <row r="15" spans="1:15" ht="13.5" thickBot="1">
      <c r="A15" s="584" t="str">
        <f>IF(VLOOKUP(C15,'BD  Materiales y equipos'!$B$3:$F$190,1,FALSE())=C15,"CORRECTO","NO LISTADO")</f>
        <v>CORRECTO</v>
      </c>
      <c r="B15" s="147" t="s">
        <v>411</v>
      </c>
      <c r="C15" s="147" t="s">
        <v>881</v>
      </c>
      <c r="D15" s="191" t="s">
        <v>1019</v>
      </c>
      <c r="E15" s="191"/>
      <c r="F15" s="191" t="s">
        <v>722</v>
      </c>
      <c r="G15" s="133">
        <v>6</v>
      </c>
      <c r="H15" s="194">
        <f>VLOOKUP(C15,'BD  Materiales y equipos'!$B$3:$I$190,8,FALSE())*G15</f>
        <v>4.8459796443348484</v>
      </c>
      <c r="I15" s="194">
        <f t="shared" si="2"/>
        <v>4.5476998782385172</v>
      </c>
      <c r="J15" s="194">
        <f t="shared" si="3"/>
        <v>0</v>
      </c>
      <c r="K15" s="191" t="str">
        <f>VLOOKUP(C15,'BD  Materiales y equipos'!$B$3:$L$190,11,FALSE())</f>
        <v>IMPORTADO</v>
      </c>
      <c r="L15" s="436">
        <f t="shared" si="0"/>
        <v>1</v>
      </c>
      <c r="M15" s="595">
        <f t="shared" si="1"/>
        <v>1</v>
      </c>
      <c r="N15" s="194">
        <f>VLOOKUP(C15,'BD  Materiales y equipos'!$B$3:$K$190,9,FALSE())*0.811905633063426</f>
        <v>0.93844799442254523</v>
      </c>
      <c r="O15" s="194">
        <f>VLOOKUP(C15,'BD  Materiales y equipos'!$B$3:$K$190,10,FALSE())*1.14265904837007</f>
        <v>0</v>
      </c>
    </row>
    <row r="16" spans="1:15" ht="13.5" thickBot="1">
      <c r="A16" s="584" t="str">
        <f>IF(VLOOKUP(C16,'BD  Materiales y equipos'!$B$3:$F$190,1,FALSE())=C16,"CORRECTO","NO LISTADO")</f>
        <v>CORRECTO</v>
      </c>
      <c r="B16" s="147" t="s">
        <v>411</v>
      </c>
      <c r="C16" s="147" t="s">
        <v>842</v>
      </c>
      <c r="D16" s="191" t="s">
        <v>1019</v>
      </c>
      <c r="E16" s="191"/>
      <c r="F16" s="191" t="s">
        <v>722</v>
      </c>
      <c r="G16" s="133">
        <v>6</v>
      </c>
      <c r="H16" s="194">
        <f>VLOOKUP(C16,'BD  Materiales y equipos'!$B$3:$I$190,8,FALSE())*G16</f>
        <v>3.2306530962232327</v>
      </c>
      <c r="I16" s="194">
        <f t="shared" si="2"/>
        <v>2.8639152327669364</v>
      </c>
      <c r="J16" s="194">
        <f t="shared" si="3"/>
        <v>0</v>
      </c>
      <c r="K16" s="191" t="str">
        <f>VLOOKUP(C16,'BD  Materiales y equipos'!$B$3:$L$190,11,FALSE())</f>
        <v>IMPORTADO</v>
      </c>
      <c r="L16" s="436">
        <f t="shared" si="0"/>
        <v>1</v>
      </c>
      <c r="M16" s="595">
        <f t="shared" si="1"/>
        <v>1</v>
      </c>
      <c r="N16" s="194">
        <f>VLOOKUP(C16,'BD  Materiales y equipos'!$B$3:$K$190,9,FALSE())*0.811905633063426</f>
        <v>0.88648181883563171</v>
      </c>
      <c r="O16" s="194">
        <f>VLOOKUP(C16,'BD  Materiales y equipos'!$B$3:$K$190,10,FALSE())*1.14265904837007</f>
        <v>0</v>
      </c>
    </row>
    <row r="17" spans="1:15" ht="13.5" thickBot="1">
      <c r="A17" s="584" t="str">
        <f>IF(VLOOKUP(C17,'BD  Materiales y equipos'!$B$3:$F$190,1,FALSE())=C17,"CORRECTO","NO LISTADO")</f>
        <v>CORRECTO</v>
      </c>
      <c r="B17" s="147" t="s">
        <v>411</v>
      </c>
      <c r="C17" s="147" t="s">
        <v>839</v>
      </c>
      <c r="D17" s="191" t="s">
        <v>1019</v>
      </c>
      <c r="E17" s="191"/>
      <c r="F17" s="191" t="s">
        <v>722</v>
      </c>
      <c r="G17" s="133">
        <v>10</v>
      </c>
      <c r="H17" s="194">
        <f>VLOOKUP(C17,'BD  Materiales y equipos'!$B$3:$I$190,8,FALSE())*G17</f>
        <v>2.0180050881291995</v>
      </c>
      <c r="I17" s="194">
        <f t="shared" si="2"/>
        <v>3.0288119259214721</v>
      </c>
      <c r="J17" s="194">
        <f t="shared" si="3"/>
        <v>0</v>
      </c>
      <c r="K17" s="191" t="str">
        <f>VLOOKUP(C17,'BD  Materiales y equipos'!$B$3:$L$190,11,FALSE())</f>
        <v>IMPORTADO</v>
      </c>
      <c r="L17" s="436">
        <f t="shared" si="0"/>
        <v>1</v>
      </c>
      <c r="M17" s="595">
        <f t="shared" si="1"/>
        <v>1</v>
      </c>
      <c r="N17" s="194">
        <f>VLOOKUP(C17,'BD  Materiales y equipos'!$B$3:$K$190,9,FALSE())*0.811905633063426</f>
        <v>1.5008940977098058</v>
      </c>
      <c r="O17" s="194">
        <f>VLOOKUP(C17,'BD  Materiales y equipos'!$B$3:$K$190,10,FALSE())*1.14265904837007</f>
        <v>0</v>
      </c>
    </row>
    <row r="18" spans="1:15" ht="13.5" thickBot="1">
      <c r="A18" s="584" t="str">
        <f>IF(VLOOKUP(C18,'BD  Materiales y equipos'!$B$3:$F$190,1,FALSE())=C18,"CORRECTO","NO LISTADO")</f>
        <v>CORRECTO</v>
      </c>
      <c r="B18" s="147" t="s">
        <v>411</v>
      </c>
      <c r="C18" s="147" t="s">
        <v>901</v>
      </c>
      <c r="D18" s="191" t="s">
        <v>980</v>
      </c>
      <c r="E18" s="191"/>
      <c r="F18" s="191" t="s">
        <v>722</v>
      </c>
      <c r="G18" s="133">
        <v>1</v>
      </c>
      <c r="H18" s="194">
        <f>VLOOKUP(C18,'BD  Materiales y equipos'!$B$3:$I$190,8,FALSE())*G18</f>
        <v>7.4191363534161754</v>
      </c>
      <c r="I18" s="194">
        <f t="shared" si="2"/>
        <v>0.54212747380238135</v>
      </c>
      <c r="J18" s="194">
        <f t="shared" si="3"/>
        <v>0</v>
      </c>
      <c r="K18" s="191" t="str">
        <f>VLOOKUP(C18,'BD  Materiales y equipos'!$B$3:$L$190,11,FALSE())</f>
        <v>IMPORTADO</v>
      </c>
      <c r="L18" s="436">
        <f t="shared" si="0"/>
        <v>1</v>
      </c>
      <c r="M18" s="595">
        <f t="shared" si="1"/>
        <v>1</v>
      </c>
      <c r="N18" s="194">
        <f>VLOOKUP(C18,'BD  Materiales y equipos'!$B$3:$K$190,9,FALSE())*0.811905633063426</f>
        <v>7.3071506975708342E-2</v>
      </c>
      <c r="O18" s="194">
        <f>VLOOKUP(C18,'BD  Materiales y equipos'!$B$3:$K$190,10,FALSE())*1.14265904837007</f>
        <v>0</v>
      </c>
    </row>
    <row r="19" spans="1:15" ht="13.5" thickBot="1">
      <c r="A19" s="584" t="str">
        <f>IF(VLOOKUP(C19,'BD  Materiales y equipos'!$B$3:$F$190,1,FALSE())=C19,"CORRECTO","NO LISTADO")</f>
        <v>CORRECTO</v>
      </c>
      <c r="B19" s="147" t="s">
        <v>411</v>
      </c>
      <c r="C19" s="147" t="s">
        <v>897</v>
      </c>
      <c r="D19" s="191" t="s">
        <v>980</v>
      </c>
      <c r="E19" s="191"/>
      <c r="F19" s="191"/>
      <c r="G19" s="133">
        <v>1</v>
      </c>
      <c r="H19" s="194">
        <f>VLOOKUP(C19,'BD  Materiales y equipos'!$B$3:$I$190,8,FALSE())*G19</f>
        <v>327.33229591272163</v>
      </c>
      <c r="I19" s="194">
        <f t="shared" si="2"/>
        <v>3717.0233878351146</v>
      </c>
      <c r="J19" s="194">
        <f t="shared" si="3"/>
        <v>0</v>
      </c>
      <c r="K19" s="191" t="str">
        <f>VLOOKUP(C19,'BD  Materiales y equipos'!$B$3:$L$190,11,FALSE())</f>
        <v>NACIONAL</v>
      </c>
      <c r="L19" s="436">
        <f t="shared" si="0"/>
        <v>1</v>
      </c>
      <c r="M19" s="595">
        <f t="shared" si="1"/>
        <v>1</v>
      </c>
      <c r="N19" s="194">
        <f>VLOOKUP(C19,'BD  Materiales y equipos'!$B$3:$K$190,9,FALSE())*0.811905633063426</f>
        <v>11.355504587381761</v>
      </c>
      <c r="O19" s="194">
        <f>VLOOKUP(C19,'BD  Materiales y equipos'!$B$3:$K$190,10,FALSE())*1.14265904837007</f>
        <v>0</v>
      </c>
    </row>
    <row r="20" spans="1:15" ht="13.5" thickBot="1">
      <c r="A20" s="584" t="str">
        <f>IF(VLOOKUP(C20,'BD  Materiales y equipos'!$B$3:$F$190,1,FALSE())=C20,"CORRECTO","NO LISTADO")</f>
        <v>CORRECTO</v>
      </c>
      <c r="B20" s="147" t="s">
        <v>411</v>
      </c>
      <c r="C20" s="147" t="s">
        <v>858</v>
      </c>
      <c r="D20" s="191" t="s">
        <v>984</v>
      </c>
      <c r="E20" s="191"/>
      <c r="F20" s="191" t="s">
        <v>722</v>
      </c>
      <c r="G20" s="133">
        <v>3</v>
      </c>
      <c r="H20" s="194">
        <f>VLOOKUP(C20,'BD  Materiales y equipos'!$B$3:$I$190,8,FALSE())*G20</f>
        <v>70.671725248101112</v>
      </c>
      <c r="I20" s="194">
        <f t="shared" si="2"/>
        <v>416.36090348184621</v>
      </c>
      <c r="J20" s="194">
        <f t="shared" si="3"/>
        <v>523.49196529132814</v>
      </c>
      <c r="K20" s="191" t="str">
        <f>VLOOKUP(C20,'BD  Materiales y equipos'!$B$3:$L$190,11,FALSE())</f>
        <v>IMPORTADO</v>
      </c>
      <c r="L20" s="436">
        <f t="shared" si="0"/>
        <v>1</v>
      </c>
      <c r="M20" s="595">
        <f t="shared" si="1"/>
        <v>1</v>
      </c>
      <c r="N20" s="194">
        <f>VLOOKUP(C20,'BD  Materiales y equipos'!$B$3:$K$190,9,FALSE())*0.811905633063426</f>
        <v>5.8914778437934547</v>
      </c>
      <c r="O20" s="194">
        <f>VLOOKUP(C20,'BD  Materiales y equipos'!$B$3:$K$190,10,FALSE())*1.14265904837007</f>
        <v>7.4073749219160865</v>
      </c>
    </row>
    <row r="21" spans="1:15" ht="13.5" thickBot="1">
      <c r="A21" s="584" t="str">
        <f>IF(VLOOKUP(C21,'BD  Materiales y equipos'!$B$3:$F$190,1,FALSE())=C21,"CORRECTO","NO LISTADO")</f>
        <v>CORRECTO</v>
      </c>
      <c r="B21" s="147" t="s">
        <v>411</v>
      </c>
      <c r="C21" s="147" t="s">
        <v>877</v>
      </c>
      <c r="D21" s="191" t="s">
        <v>984</v>
      </c>
      <c r="E21" s="191"/>
      <c r="F21" s="191" t="s">
        <v>722</v>
      </c>
      <c r="G21" s="133">
        <v>3</v>
      </c>
      <c r="H21" s="194">
        <f>VLOOKUP(C21,'BD  Materiales y equipos'!$B$3:$I$190,8,FALSE())*G21</f>
        <v>44.421480073069446</v>
      </c>
      <c r="I21" s="194">
        <f t="shared" si="2"/>
        <v>388.16327124250427</v>
      </c>
      <c r="J21" s="194">
        <f t="shared" si="3"/>
        <v>329.04655748765032</v>
      </c>
      <c r="K21" s="191" t="str">
        <f>VLOOKUP(C21,'BD  Materiales y equipos'!$B$3:$L$190,11,FALSE())</f>
        <v>IMPORTADO</v>
      </c>
      <c r="L21" s="436">
        <f t="shared" si="0"/>
        <v>1</v>
      </c>
      <c r="M21" s="595">
        <f t="shared" si="1"/>
        <v>1</v>
      </c>
      <c r="N21" s="194">
        <f>VLOOKUP(C21,'BD  Materiales y equipos'!$B$3:$K$190,9,FALSE())*0.811905633063426</f>
        <v>8.7381886106453379</v>
      </c>
      <c r="O21" s="194">
        <f>VLOOKUP(C21,'BD  Materiales y equipos'!$B$3:$K$190,10,FALSE())*1.14265904837007</f>
        <v>7.4073749219160989</v>
      </c>
    </row>
    <row r="22" spans="1:15" ht="13.5" thickBot="1">
      <c r="A22" s="584" t="str">
        <f>IF(VLOOKUP(C22,'BD  Materiales y equipos'!$B$3:$F$190,1,FALSE())=C22,"CORRECTO","NO LISTADO")</f>
        <v>CORRECTO</v>
      </c>
      <c r="B22" s="147" t="s">
        <v>411</v>
      </c>
      <c r="C22" s="147" t="s">
        <v>878</v>
      </c>
      <c r="D22" s="191" t="s">
        <v>984</v>
      </c>
      <c r="E22" s="191"/>
      <c r="F22" s="191" t="s">
        <v>722</v>
      </c>
      <c r="G22" s="133">
        <v>10</v>
      </c>
      <c r="H22" s="194">
        <f>VLOOKUP(C22,'BD  Materiales y equipos'!$B$3:$I$190,8,FALSE())*G22</f>
        <v>61.920851010945285</v>
      </c>
      <c r="I22" s="194">
        <f t="shared" si="2"/>
        <v>245.76445479041283</v>
      </c>
      <c r="J22" s="194">
        <f t="shared" si="3"/>
        <v>458.67095892217844</v>
      </c>
      <c r="K22" s="191" t="str">
        <f>VLOOKUP(C22,'BD  Materiales y equipos'!$B$3:$L$190,11,FALSE())</f>
        <v>IMPORTADO</v>
      </c>
      <c r="L22" s="436">
        <f t="shared" si="0"/>
        <v>1</v>
      </c>
      <c r="M22" s="595">
        <f t="shared" si="1"/>
        <v>1</v>
      </c>
      <c r="N22" s="194">
        <f>VLOOKUP(C22,'BD  Materiales y equipos'!$B$3:$K$190,9,FALSE())*0.811905633063426</f>
        <v>3.969009643407047</v>
      </c>
      <c r="O22" s="194">
        <f>VLOOKUP(C22,'BD  Materiales y equipos'!$B$3:$K$190,10,FALSE())*1.14265904837007</f>
        <v>7.4073749219160865</v>
      </c>
    </row>
    <row r="23" spans="1:15" ht="26.25" thickBot="1">
      <c r="A23" s="584" t="str">
        <f>IF(VLOOKUP(C23,'BD  Materiales y equipos'!$B$3:$F$190,1,FALSE())=C23,"CORRECTO","NO LISTADO")</f>
        <v>CORRECTO</v>
      </c>
      <c r="B23" s="147" t="s">
        <v>412</v>
      </c>
      <c r="C23" s="147" t="s">
        <v>882</v>
      </c>
      <c r="D23" s="191" t="s">
        <v>980</v>
      </c>
      <c r="E23" s="191"/>
      <c r="F23" s="191" t="s">
        <v>722</v>
      </c>
      <c r="G23" s="133">
        <v>1</v>
      </c>
      <c r="H23" s="194">
        <f>VLOOKUP(C23,'BD  Materiales y equipos'!$B$3:$I$190,8,FALSE())*G23</f>
        <v>0</v>
      </c>
      <c r="I23" s="194">
        <f t="shared" si="2"/>
        <v>0</v>
      </c>
      <c r="J23" s="194">
        <f t="shared" si="3"/>
        <v>0</v>
      </c>
      <c r="K23" s="191" t="str">
        <f>VLOOKUP(C23,'BD  Materiales y equipos'!$B$3:$L$190,11,FALSE())</f>
        <v>NACIONAL</v>
      </c>
      <c r="L23" s="436">
        <f t="shared" si="0"/>
        <v>1</v>
      </c>
      <c r="M23" s="595">
        <f t="shared" si="1"/>
        <v>1</v>
      </c>
      <c r="N23" s="194">
        <f>VLOOKUP(C23,'BD  Materiales y equipos'!$B$3:$K$190,9,FALSE())*0.811905633063426</f>
        <v>16.669388269451701</v>
      </c>
      <c r="O23" s="194">
        <f>VLOOKUP(C23,'BD  Materiales y equipos'!$B$3:$K$190,10,FALSE())*1.14265904837007</f>
        <v>14.206269962999436</v>
      </c>
    </row>
    <row r="24" spans="1:15" ht="39" thickBot="1">
      <c r="A24" s="585" t="str">
        <f>IF(VLOOKUP(C24,'BD  Materiales y equipos'!$B$3:$F$190,1,FALSE())=C24,"CORRECTO","NO LISTADO")</f>
        <v>CORRECTO</v>
      </c>
      <c r="B24" s="586" t="s">
        <v>412</v>
      </c>
      <c r="C24" s="586" t="s">
        <v>883</v>
      </c>
      <c r="D24" s="587" t="s">
        <v>984</v>
      </c>
      <c r="E24" s="587"/>
      <c r="F24" s="587" t="s">
        <v>722</v>
      </c>
      <c r="G24" s="599">
        <v>1</v>
      </c>
      <c r="H24" s="589">
        <f>VLOOKUP(C24,'BD  Materiales y equipos'!$B$3:$I$190,8,FALSE())*G24</f>
        <v>83.094327158261166</v>
      </c>
      <c r="I24" s="589">
        <f t="shared" si="2"/>
        <v>12710.073312210909</v>
      </c>
      <c r="J24" s="589">
        <f t="shared" si="3"/>
        <v>4384.3927391175885</v>
      </c>
      <c r="K24" s="587" t="str">
        <f>VLOOKUP(C24,'BD  Materiales y equipos'!$B$3:$L$190,11,FALSE())</f>
        <v>NACIONAL</v>
      </c>
      <c r="L24" s="436">
        <f>ppi_usa_bom_ind/ppi_usa_bom_ind_base</f>
        <v>1</v>
      </c>
      <c r="M24" s="595">
        <f t="shared" si="1"/>
        <v>1</v>
      </c>
      <c r="N24" s="589">
        <f>VLOOKUP(C24,'BD  Materiales y equipos'!$B$3:$K$190,9,FALSE())*1.28149014580997</f>
        <v>152.95957915398179</v>
      </c>
      <c r="O24" s="589">
        <f>VLOOKUP(C24,'BD  Materiales y equipos'!$B$3:$K$190,10,FALSE())*1.14265904837007</f>
        <v>52.764044057629704</v>
      </c>
    </row>
  </sheetData>
  <conditionalFormatting sqref="A2:A24">
    <cfRule type="cellIs" dxfId="7" priority="2" operator="equal">
      <formula>"CORRECTO"</formula>
    </cfRule>
    <cfRule type="cellIs" dxfId="6"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27">
    <tabColor theme="5" tint="0.59999389629810485"/>
  </sheetPr>
  <dimension ref="A1:O4"/>
  <sheetViews>
    <sheetView showGridLines="0" showRowColHeaders="0" topLeftCell="H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2" customWidth="1"/>
    <col min="2" max="2" width="19.140625" customWidth="1"/>
    <col min="3" max="3" width="93.140625" customWidth="1"/>
    <col min="4" max="4" width="10.7109375" style="122" customWidth="1"/>
    <col min="5" max="5" width="14" customWidth="1"/>
    <col min="6" max="6" width="6.85546875" customWidth="1"/>
    <col min="7" max="7" width="13.42578125" style="122" customWidth="1"/>
    <col min="8" max="8" width="20.140625" customWidth="1"/>
    <col min="9" max="9" width="15.28515625" customWidth="1"/>
    <col min="10" max="10" width="27.42578125" customWidth="1"/>
    <col min="11" max="11" width="12.7109375" customWidth="1"/>
    <col min="12" max="12" width="22.85546875" customWidth="1"/>
    <col min="13" max="13" width="28.7109375" customWidth="1"/>
    <col min="14" max="197" width="20.28515625" customWidth="1"/>
    <col min="198" max="1025" width="108" customWidth="1"/>
  </cols>
  <sheetData>
    <row r="1" spans="1:15" ht="57" thickBot="1">
      <c r="A1" s="596" t="s">
        <v>955</v>
      </c>
      <c r="B1" s="597" t="s">
        <v>956</v>
      </c>
      <c r="C1" s="597" t="s">
        <v>957</v>
      </c>
      <c r="D1" s="597" t="s">
        <v>699</v>
      </c>
      <c r="E1" s="597" t="s">
        <v>700</v>
      </c>
      <c r="F1" s="597" t="s">
        <v>701</v>
      </c>
      <c r="G1" s="597" t="s">
        <v>673</v>
      </c>
      <c r="H1" s="598" t="s">
        <v>958</v>
      </c>
      <c r="I1" s="597" t="s">
        <v>964</v>
      </c>
      <c r="J1" s="597" t="s">
        <v>960</v>
      </c>
      <c r="K1" s="604" t="s">
        <v>706</v>
      </c>
      <c r="L1" s="605" t="s">
        <v>961</v>
      </c>
      <c r="M1" s="197" t="s">
        <v>962</v>
      </c>
      <c r="N1" s="597" t="s">
        <v>965</v>
      </c>
      <c r="O1" s="597" t="s">
        <v>966</v>
      </c>
    </row>
    <row r="2" spans="1:15" ht="39" thickBot="1">
      <c r="A2" s="590" t="str">
        <f>IF(VLOOKUP(C2,'BD  Materiales y equipos'!$B$3:$F$190,1,FALSE())=C2,"CORRECTO","NO LISTADO")</f>
        <v>CORRECTO</v>
      </c>
      <c r="B2" s="591" t="s">
        <v>412</v>
      </c>
      <c r="C2" s="591" t="s">
        <v>861</v>
      </c>
      <c r="D2" s="592" t="str">
        <f>VLOOKUP(C2,'BD  Materiales y equipos'!$B$3:$F$190,2,FALSE())</f>
        <v>Unidad</v>
      </c>
      <c r="E2" s="592">
        <f>VLOOKUP(C2,'BD  Materiales y equipos'!$B$3:$F$190,3,FALSE())</f>
        <v>800</v>
      </c>
      <c r="F2" s="592" t="str">
        <f>VLOOKUP(C2,'BD  Materiales y equipos'!$B$3:$F$190,4,FALSE())</f>
        <v>150#</v>
      </c>
      <c r="G2" s="593">
        <v>1</v>
      </c>
      <c r="H2" s="594">
        <f>VLOOKUP(C2,'BD  Materiales y equipos'!$B$3:$I$190,8,FALSE())*G2</f>
        <v>237.41236330931761</v>
      </c>
      <c r="I2" s="594">
        <f>N2*H2*L2</f>
        <v>54966.580181897989</v>
      </c>
      <c r="J2" s="594">
        <f>O2*H2*M2</f>
        <v>29931.832141127659</v>
      </c>
      <c r="K2" s="592" t="str">
        <f>VLOOKUP(C2,'BD  Materiales y equipos'!$B$3:$L$190,11,FALSE())</f>
        <v>IMPORTADO</v>
      </c>
      <c r="L2" s="603">
        <f>ppi_usa_bom_ind/ppi_usa_bom_ind_base</f>
        <v>1</v>
      </c>
      <c r="M2" s="595">
        <f t="shared" ref="M2:M4" si="0">(0.65*ipc/ipc_base*trm_base/trm+0.35*fac_mano_obra)</f>
        <v>1</v>
      </c>
      <c r="N2" s="594">
        <f>VLOOKUP(C2,'BD  Materiales y equipos'!$B$3:$K$190,9,FALSE())*1.28149014580997</f>
        <v>231.523663787819</v>
      </c>
      <c r="O2" s="594">
        <f>VLOOKUP(C2,'BD  Materiales y equipos'!$B$3:$K$190,10,FALSE())*1.14265904837007</f>
        <v>126.07528826175894</v>
      </c>
    </row>
    <row r="3" spans="1:15" ht="26.25" thickBot="1">
      <c r="A3" s="584" t="str">
        <f>IF(VLOOKUP(C3,'BD  Materiales y equipos'!$B$3:$F$190,1,FALSE())=C3,"CORRECTO","NO LISTADO")</f>
        <v>CORRECTO</v>
      </c>
      <c r="B3" s="147" t="s">
        <v>412</v>
      </c>
      <c r="C3" s="147" t="s">
        <v>862</v>
      </c>
      <c r="D3" s="191" t="str">
        <f>VLOOKUP(C3,'BD  Materiales y equipos'!$B$3:$F$190,2,FALSE())</f>
        <v>Unidad</v>
      </c>
      <c r="E3" s="191">
        <f>VLOOKUP(C3,'BD  Materiales y equipos'!$B$3:$F$190,3,FALSE())</f>
        <v>1200</v>
      </c>
      <c r="F3" s="191" t="str">
        <f>VLOOKUP(C3,'BD  Materiales y equipos'!$B$3:$F$190,4,FALSE())</f>
        <v>150#</v>
      </c>
      <c r="G3" s="484">
        <v>1</v>
      </c>
      <c r="H3" s="194">
        <f>VLOOKUP(C3,'BD  Materiales y equipos'!$B$3:$I$190,8,FALSE())*G3</f>
        <v>356.11854496397643</v>
      </c>
      <c r="I3" s="194">
        <f t="shared" ref="I3:I4" si="1">N3*H3*L3</f>
        <v>68934.512585030607</v>
      </c>
      <c r="J3" s="194">
        <f t="shared" ref="J3:J4" si="2">O3*H3*M3</f>
        <v>44416.94071103137</v>
      </c>
      <c r="K3" s="191" t="str">
        <f>VLOOKUP(C3,'BD  Materiales y equipos'!$B$3:$L$190,11,FALSE())</f>
        <v>IMPORTADO</v>
      </c>
      <c r="L3" s="436">
        <f>ppi_usa_bom_ind/ppi_usa_bom_ind_base</f>
        <v>1</v>
      </c>
      <c r="M3" s="595">
        <f t="shared" si="0"/>
        <v>1</v>
      </c>
      <c r="N3" s="194">
        <f>VLOOKUP(C3,'BD  Materiales y equipos'!$B$3:$K$190,9,FALSE())*1.28149014580997</f>
        <v>193.57181354316651</v>
      </c>
      <c r="O3" s="194">
        <f>VLOOKUP(C3,'BD  Materiales y equipos'!$B$3:$K$190,10,FALSE())*1.14265904837007</f>
        <v>124.7251549776056</v>
      </c>
    </row>
    <row r="4" spans="1:15" ht="13.5" thickBot="1">
      <c r="A4" s="585" t="str">
        <f>IF(VLOOKUP(C4,'BD  Materiales y equipos'!$B$3:$F$190,1,FALSE())=C4,"CORRECTO","NO LISTADO")</f>
        <v>CORRECTO</v>
      </c>
      <c r="B4" s="586" t="s">
        <v>412</v>
      </c>
      <c r="C4" s="586" t="s">
        <v>868</v>
      </c>
      <c r="D4" s="587" t="str">
        <f>VLOOKUP(C4,'BD  Materiales y equipos'!$B$3:$F$190,2,FALSE())</f>
        <v>Unidad</v>
      </c>
      <c r="E4" s="587">
        <f>VLOOKUP(C4,'BD  Materiales y equipos'!$B$3:$F$190,3,FALSE())</f>
        <v>80</v>
      </c>
      <c r="F4" s="587" t="str">
        <f>VLOOKUP(C4,'BD  Materiales y equipos'!$B$3:$F$190,4,FALSE())</f>
        <v>150#</v>
      </c>
      <c r="G4" s="588">
        <v>1</v>
      </c>
      <c r="H4" s="589">
        <f>VLOOKUP(C4,'BD  Materiales y equipos'!$B$3:$I$190,8,FALSE())*G4</f>
        <v>40.656867216720642</v>
      </c>
      <c r="I4" s="589">
        <f t="shared" si="1"/>
        <v>24711.03075195053</v>
      </c>
      <c r="J4" s="589">
        <f t="shared" si="2"/>
        <v>6592.2142838622576</v>
      </c>
      <c r="K4" s="587" t="str">
        <f>VLOOKUP(C4,'BD  Materiales y equipos'!$B$3:$L$190,11,FALSE())</f>
        <v>NACIONAL</v>
      </c>
      <c r="L4" s="436">
        <f>ppi_usa_bom_ind/ppi_usa_bom_ind_base</f>
        <v>1</v>
      </c>
      <c r="M4" s="595">
        <f t="shared" si="0"/>
        <v>1</v>
      </c>
      <c r="N4" s="589">
        <f>VLOOKUP(C4,'BD  Materiales y equipos'!$B$3:$K$190,9,FALSE())*1.28149014580997</f>
        <v>607.79475753084614</v>
      </c>
      <c r="O4" s="589">
        <f>VLOOKUP(C4,'BD  Materiales y equipos'!$B$3:$K$190,10,FALSE())*1.14265904837007</f>
        <v>162.14270147088774</v>
      </c>
    </row>
  </sheetData>
  <sheetProtection selectLockedCells="1"/>
  <conditionalFormatting sqref="A2:A4">
    <cfRule type="cellIs" dxfId="5" priority="2" operator="equal">
      <formula>"CORRECTO"</formula>
    </cfRule>
    <cfRule type="cellIs" dxfId="4"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28">
    <tabColor theme="5" tint="0.59999389629810485"/>
  </sheetPr>
  <dimension ref="A1:Q29"/>
  <sheetViews>
    <sheetView showGridLines="0" showRowColHeaders="0" topLeftCell="I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5.140625" customWidth="1"/>
    <col min="2" max="2" width="19.140625" customWidth="1"/>
    <col min="3" max="3" width="65" customWidth="1"/>
    <col min="4" max="4" width="10.7109375" style="122" customWidth="1"/>
    <col min="5" max="5" width="14" customWidth="1"/>
    <col min="6" max="6" width="6.85546875" customWidth="1"/>
    <col min="7" max="7" width="13.42578125" style="122" customWidth="1"/>
    <col min="8" max="8" width="20.140625" customWidth="1"/>
    <col min="9" max="9" width="15.42578125" customWidth="1"/>
    <col min="10" max="10" width="16.28515625" customWidth="1"/>
    <col min="11" max="11" width="23" customWidth="1"/>
    <col min="12" max="12" width="11.42578125"/>
    <col min="13" max="13" width="22.140625" customWidth="1"/>
    <col min="14" max="14" width="16.28515625" customWidth="1"/>
    <col min="15" max="15" width="20.140625" customWidth="1"/>
    <col min="16" max="16" width="15.42578125" customWidth="1"/>
    <col min="17" max="17" width="13.42578125" customWidth="1"/>
    <col min="18" max="1023" width="10.42578125" customWidth="1"/>
    <col min="1024" max="1025" width="11.42578125"/>
  </cols>
  <sheetData>
    <row r="1" spans="1:15" ht="75.75" thickBot="1">
      <c r="A1" s="596" t="s">
        <v>955</v>
      </c>
      <c r="B1" s="597" t="s">
        <v>956</v>
      </c>
      <c r="C1" s="597" t="s">
        <v>957</v>
      </c>
      <c r="D1" s="597" t="s">
        <v>699</v>
      </c>
      <c r="E1" s="597" t="s">
        <v>700</v>
      </c>
      <c r="F1" s="597" t="s">
        <v>701</v>
      </c>
      <c r="G1" s="597" t="s">
        <v>673</v>
      </c>
      <c r="H1" s="598" t="s">
        <v>958</v>
      </c>
      <c r="I1" s="597" t="s">
        <v>964</v>
      </c>
      <c r="J1" s="597" t="s">
        <v>960</v>
      </c>
      <c r="K1" s="604" t="s">
        <v>706</v>
      </c>
      <c r="L1" s="605" t="s">
        <v>961</v>
      </c>
      <c r="M1" s="197" t="s">
        <v>962</v>
      </c>
      <c r="N1" s="666" t="s">
        <v>1020</v>
      </c>
      <c r="O1" s="597" t="s">
        <v>1021</v>
      </c>
    </row>
    <row r="2" spans="1:15" ht="13.5" thickBot="1">
      <c r="A2" s="590" t="str">
        <f>IF(VLOOKUP(C2,'BD  Materiales y equipos'!$B$3:$F$190,1,FALSE())=C2,"CORRECTO","NO LISTADO")</f>
        <v>CORRECTO</v>
      </c>
      <c r="B2" s="591" t="s">
        <v>411</v>
      </c>
      <c r="C2" s="591" t="s">
        <v>745</v>
      </c>
      <c r="D2" s="592" t="str">
        <f>VLOOKUP(C2,'BD  Materiales y equipos'!$B$3:$F$190,2,FALSE())</f>
        <v>Metro lineal</v>
      </c>
      <c r="E2" s="592">
        <f>VLOOKUP(C2,'BD  Materiales y equipos'!$B$3:$F$190,3,FALSE())</f>
        <v>40</v>
      </c>
      <c r="F2" s="592">
        <f>VLOOKUP(C2,'BD  Materiales y equipos'!$B$3:$F$190,4,FALSE())</f>
        <v>0</v>
      </c>
      <c r="G2" s="601">
        <v>3000</v>
      </c>
      <c r="H2" s="594">
        <f>VLOOKUP(C2,'BD  Materiales y equipos'!$B$3:$I$190,8,FALSE())*G2</f>
        <v>53764.723724687785</v>
      </c>
      <c r="I2" s="594">
        <f>N2*H2*L2</f>
        <v>100440.18509023578</v>
      </c>
      <c r="J2" s="594">
        <f>O2*H2*M2</f>
        <v>213065.60602090965</v>
      </c>
      <c r="K2" s="602" t="str">
        <f>VLOOKUP(C2,'BD  Materiales y equipos'!$B$3:$L$190,11,FALSE())</f>
        <v>IMPORTADO</v>
      </c>
      <c r="L2" s="603">
        <f t="shared" ref="L2:L20" si="0">+acero/acero_base</f>
        <v>1</v>
      </c>
      <c r="M2" s="421">
        <f t="shared" ref="M2:M28" si="1">(0.65*ipc/ipc_base*trm_base/trm+0.35*fac_mano_obra)</f>
        <v>1</v>
      </c>
      <c r="N2" s="594">
        <f>VLOOKUP(C2,'BD  Materiales y equipos'!$B$3:$K$190,9,FALSE())*0.848244914240128</f>
        <v>1.8681428663998783</v>
      </c>
      <c r="O2" s="594">
        <f>VLOOKUP(C2,'BD  Materiales y equipos'!$B$3:$K$190,10,FALSE())*1.31279790366633</f>
        <v>3.9629257115120966</v>
      </c>
    </row>
    <row r="3" spans="1:15" ht="13.5" thickBot="1">
      <c r="A3" s="584" t="str">
        <f>IF(VLOOKUP(C3,'BD  Materiales y equipos'!$B$3:$F$190,1,FALSE())=C3,"CORRECTO","NO LISTADO")</f>
        <v>CORRECTO</v>
      </c>
      <c r="B3" s="147" t="s">
        <v>411</v>
      </c>
      <c r="C3" s="147" t="s">
        <v>830</v>
      </c>
      <c r="D3" s="191" t="str">
        <f>VLOOKUP(C3,'BD  Materiales y equipos'!$B$3:$F$190,2,FALSE())</f>
        <v>Metro lineal</v>
      </c>
      <c r="E3" s="191">
        <f>VLOOKUP(C3,'BD  Materiales y equipos'!$B$3:$F$190,3,FALSE())</f>
        <v>40</v>
      </c>
      <c r="F3" s="191">
        <f>VLOOKUP(C3,'BD  Materiales y equipos'!$B$3:$F$190,4,FALSE())</f>
        <v>0</v>
      </c>
      <c r="G3" s="133">
        <v>3100</v>
      </c>
      <c r="H3" s="194">
        <f>VLOOKUP(C3,'BD  Materiales y equipos'!$B$3:$I$190,8,FALSE())*G3</f>
        <v>26039.721046944644</v>
      </c>
      <c r="I3" s="594">
        <f t="shared" ref="I3:I28" si="2">N3*H3*L3</f>
        <v>64000.741964551074</v>
      </c>
      <c r="J3" s="594">
        <f t="shared" ref="J3:J28" si="3">O3*H3*M3</f>
        <v>111726.41243845172</v>
      </c>
      <c r="K3" s="435" t="str">
        <f>VLOOKUP(C3,'BD  Materiales y equipos'!$B$3:$L$190,11,FALSE())</f>
        <v>IMPORTADO</v>
      </c>
      <c r="L3" s="436">
        <f t="shared" si="0"/>
        <v>1</v>
      </c>
      <c r="M3" s="421">
        <f t="shared" si="1"/>
        <v>1</v>
      </c>
      <c r="N3" s="194">
        <f>VLOOKUP(C3,'BD  Materiales y equipos'!$B$3:$K$190,9,FALSE())*0.848244914240128</f>
        <v>2.4578121189996605</v>
      </c>
      <c r="O3" s="194">
        <f>VLOOKUP(C3,'BD  Materiales y equipos'!$B$3:$K$190,10,FALSE())*1.31279790366633</f>
        <v>4.2906147971796758</v>
      </c>
    </row>
    <row r="4" spans="1:15" ht="13.5" thickBot="1">
      <c r="A4" s="584" t="str">
        <f>IF(VLOOKUP(C4,'BD  Materiales y equipos'!$B$3:$F$190,1,FALSE())=C4,"CORRECTO","NO LISTADO")</f>
        <v>CORRECTO</v>
      </c>
      <c r="B4" s="147" t="s">
        <v>411</v>
      </c>
      <c r="C4" s="147" t="s">
        <v>771</v>
      </c>
      <c r="D4" s="191" t="str">
        <f>VLOOKUP(C4,'BD  Materiales y equipos'!$B$3:$F$190,2,FALSE())</f>
        <v>Unidad</v>
      </c>
      <c r="E4" s="191" t="str">
        <f>VLOOKUP(C4,'BD  Materiales y equipos'!$B$3:$F$190,3,FALSE())</f>
        <v>STD</v>
      </c>
      <c r="F4" s="191">
        <f>VLOOKUP(C4,'BD  Materiales y equipos'!$B$3:$F$190,4,FALSE())</f>
        <v>0</v>
      </c>
      <c r="G4" s="133">
        <v>36</v>
      </c>
      <c r="H4" s="194">
        <f>VLOOKUP(C4,'BD  Materiales y equipos'!$B$3:$I$190,8,FALSE())*G4</f>
        <v>251.99094150541214</v>
      </c>
      <c r="I4" s="594">
        <f t="shared" si="2"/>
        <v>13910.588040316834</v>
      </c>
      <c r="J4" s="594">
        <f t="shared" si="3"/>
        <v>7857.8494428909607</v>
      </c>
      <c r="K4" s="435" t="str">
        <f>VLOOKUP(C4,'BD  Materiales y equipos'!$B$3:$L$190,11,FALSE())</f>
        <v>IMPORTADO</v>
      </c>
      <c r="L4" s="436">
        <f t="shared" si="0"/>
        <v>1</v>
      </c>
      <c r="M4" s="421">
        <f t="shared" si="1"/>
        <v>1</v>
      </c>
      <c r="N4" s="194">
        <f>VLOOKUP(C4,'BD  Materiales y equipos'!$B$3:$K$190,9,FALSE())*0.848244914240128</f>
        <v>55.202730531557897</v>
      </c>
      <c r="O4" s="194">
        <f>VLOOKUP(C4,'BD  Materiales y equipos'!$B$3:$K$190,10,FALSE())*1.31279790366633</f>
        <v>31.183063152776839</v>
      </c>
    </row>
    <row r="5" spans="1:15" ht="13.5" thickBot="1">
      <c r="A5" s="584" t="str">
        <f>IF(VLOOKUP(C5,'BD  Materiales y equipos'!$B$3:$F$190,1,FALSE())=C5,"CORRECTO","NO LISTADO")</f>
        <v>CORRECTO</v>
      </c>
      <c r="B5" s="147" t="s">
        <v>411</v>
      </c>
      <c r="C5" s="147" t="s">
        <v>833</v>
      </c>
      <c r="D5" s="191" t="str">
        <f>VLOOKUP(C5,'BD  Materiales y equipos'!$B$3:$F$190,2,FALSE())</f>
        <v>Unidad</v>
      </c>
      <c r="E5" s="191" t="str">
        <f>VLOOKUP(C5,'BD  Materiales y equipos'!$B$3:$F$190,3,FALSE())</f>
        <v>STD</v>
      </c>
      <c r="F5" s="191">
        <f>VLOOKUP(C5,'BD  Materiales y equipos'!$B$3:$F$190,4,FALSE())</f>
        <v>0</v>
      </c>
      <c r="G5" s="133">
        <v>36</v>
      </c>
      <c r="H5" s="194">
        <f>VLOOKUP(C5,'BD  Materiales y equipos'!$B$3:$I$190,8,FALSE())*G5</f>
        <v>72.689694665022742</v>
      </c>
      <c r="I5" s="594">
        <f t="shared" si="2"/>
        <v>6515.7738117184608</v>
      </c>
      <c r="J5" s="594">
        <f t="shared" si="3"/>
        <v>2389.2632247815045</v>
      </c>
      <c r="K5" s="435" t="str">
        <f>VLOOKUP(C5,'BD  Materiales y equipos'!$B$3:$L$190,11,FALSE())</f>
        <v>IMPORTADO</v>
      </c>
      <c r="L5" s="436">
        <f t="shared" si="0"/>
        <v>1</v>
      </c>
      <c r="M5" s="421">
        <f t="shared" si="1"/>
        <v>1</v>
      </c>
      <c r="N5" s="194">
        <f>VLOOKUP(C5,'BD  Materiales y equipos'!$B$3:$K$190,9,FALSE())*0.848244914240128</f>
        <v>89.638205824707626</v>
      </c>
      <c r="O5" s="194">
        <f>VLOOKUP(C5,'BD  Materiales y equipos'!$B$3:$K$190,10,FALSE())*1.31279790366633</f>
        <v>32.869352881340198</v>
      </c>
    </row>
    <row r="6" spans="1:15" ht="13.5" thickBot="1">
      <c r="A6" s="584" t="str">
        <f>IF(VLOOKUP(C6,'BD  Materiales y equipos'!$B$3:$F$190,1,FALSE())=C6,"CORRECTO","NO LISTADO")</f>
        <v>CORRECTO</v>
      </c>
      <c r="B6" s="147" t="s">
        <v>411</v>
      </c>
      <c r="C6" s="147" t="s">
        <v>752</v>
      </c>
      <c r="D6" s="191" t="str">
        <f>VLOOKUP(C6,'BD  Materiales y equipos'!$B$3:$F$190,2,FALSE())</f>
        <v>Unidad</v>
      </c>
      <c r="E6" s="191">
        <f>VLOOKUP(C6,'BD  Materiales y equipos'!$B$3:$F$190,3,FALSE())</f>
        <v>0</v>
      </c>
      <c r="F6" s="191" t="str">
        <f>VLOOKUP(C6,'BD  Materiales y equipos'!$B$3:$F$190,4,FALSE())</f>
        <v>150#</v>
      </c>
      <c r="G6" s="133">
        <v>24</v>
      </c>
      <c r="H6" s="194">
        <f>VLOOKUP(C6,'BD  Materiales y equipos'!$B$3:$I$190,8,FALSE())*G6</f>
        <v>180.91657338850104</v>
      </c>
      <c r="I6" s="594">
        <f t="shared" si="2"/>
        <v>1057.2651062130051</v>
      </c>
      <c r="J6" s="594">
        <f t="shared" si="3"/>
        <v>1316.1969762959682</v>
      </c>
      <c r="K6" s="435" t="str">
        <f>VLOOKUP(C6,'BD  Materiales y equipos'!$B$3:$L$190,11,FALSE())</f>
        <v>IMPORTADO</v>
      </c>
      <c r="L6" s="436">
        <f t="shared" si="0"/>
        <v>1</v>
      </c>
      <c r="M6" s="421">
        <f t="shared" si="1"/>
        <v>1</v>
      </c>
      <c r="N6" s="194">
        <f>VLOOKUP(C6,'BD  Materiales y equipos'!$B$3:$K$190,9,FALSE())*0.848244914240128</f>
        <v>5.8439372712561246</v>
      </c>
      <c r="O6" s="194">
        <f>VLOOKUP(C6,'BD  Materiales y equipos'!$B$3:$K$190,10,FALSE())*1.31279790366633</f>
        <v>7.2751597691913004</v>
      </c>
    </row>
    <row r="7" spans="1:15" ht="13.5" thickBot="1">
      <c r="A7" s="584" t="str">
        <f>IF(VLOOKUP(C7,'BD  Materiales y equipos'!$B$3:$F$190,1,FALSE())=C7,"CORRECTO","NO LISTADO")</f>
        <v>CORRECTO</v>
      </c>
      <c r="B7" s="147" t="s">
        <v>411</v>
      </c>
      <c r="C7" s="147" t="s">
        <v>852</v>
      </c>
      <c r="D7" s="191" t="str">
        <f>VLOOKUP(C7,'BD  Materiales y equipos'!$B$3:$F$190,2,FALSE())</f>
        <v>Unidad</v>
      </c>
      <c r="E7" s="191">
        <f>VLOOKUP(C7,'BD  Materiales y equipos'!$B$3:$F$190,3,FALSE())</f>
        <v>0</v>
      </c>
      <c r="F7" s="191" t="str">
        <f>VLOOKUP(C7,'BD  Materiales y equipos'!$B$3:$F$190,4,FALSE())</f>
        <v>150#</v>
      </c>
      <c r="G7" s="133">
        <v>60</v>
      </c>
      <c r="H7" s="194">
        <f>VLOOKUP(C7,'BD  Materiales y equipos'!$B$3:$I$190,8,FALSE())*G7</f>
        <v>201.91921499457462</v>
      </c>
      <c r="I7" s="594">
        <f t="shared" si="2"/>
        <v>6857.234748613977</v>
      </c>
      <c r="J7" s="594">
        <f t="shared" si="3"/>
        <v>3052.4476131249921</v>
      </c>
      <c r="K7" s="435" t="str">
        <f>VLOOKUP(C7,'BD  Materiales y equipos'!$B$3:$L$190,11,FALSE())</f>
        <v>IMPORTADO</v>
      </c>
      <c r="L7" s="436">
        <f t="shared" si="0"/>
        <v>1</v>
      </c>
      <c r="M7" s="421">
        <f t="shared" si="1"/>
        <v>1</v>
      </c>
      <c r="N7" s="194">
        <f>VLOOKUP(C7,'BD  Materiales y equipos'!$B$3:$K$190,9,FALSE())*0.848244914240128</f>
        <v>33.960288270723638</v>
      </c>
      <c r="O7" s="194">
        <f>VLOOKUP(C7,'BD  Materiales y equipos'!$B$3:$K$190,10,FALSE())*1.31279790366633</f>
        <v>15.117172544509984</v>
      </c>
    </row>
    <row r="8" spans="1:15" ht="13.5" thickBot="1">
      <c r="A8" s="584" t="str">
        <f>IF(VLOOKUP(C8,'BD  Materiales y equipos'!$B$3:$F$190,1,FALSE())=C8,"CORRECTO","NO LISTADO")</f>
        <v>CORRECTO</v>
      </c>
      <c r="B8" s="147" t="s">
        <v>411</v>
      </c>
      <c r="C8" s="147" t="s">
        <v>724</v>
      </c>
      <c r="D8" s="191" t="str">
        <f>VLOOKUP(C8,'BD  Materiales y equipos'!$B$3:$F$190,2,FALSE())</f>
        <v>Unidad</v>
      </c>
      <c r="E8" s="191">
        <f>VLOOKUP(C8,'BD  Materiales y equipos'!$B$3:$F$190,3,FALSE())</f>
        <v>0</v>
      </c>
      <c r="F8" s="191" t="str">
        <f>VLOOKUP(C8,'BD  Materiales y equipos'!$B$3:$F$190,4,FALSE())</f>
        <v>150#</v>
      </c>
      <c r="G8" s="133">
        <v>68</v>
      </c>
      <c r="H8" s="194">
        <f>VLOOKUP(C8,'BD  Materiales y equipos'!$B$3:$I$190,8,FALSE())*G8</f>
        <v>146.45627369545321</v>
      </c>
      <c r="I8" s="594">
        <f t="shared" si="2"/>
        <v>4416.3473865240403</v>
      </c>
      <c r="J8" s="594">
        <f t="shared" si="3"/>
        <v>3967.4965293468181</v>
      </c>
      <c r="K8" s="435" t="str">
        <f>VLOOKUP(C8,'BD  Materiales y equipos'!$B$3:$L$190,11,FALSE())</f>
        <v>IMPORTADO</v>
      </c>
      <c r="L8" s="436">
        <f t="shared" si="0"/>
        <v>1</v>
      </c>
      <c r="M8" s="421">
        <f t="shared" si="1"/>
        <v>1</v>
      </c>
      <c r="N8" s="194">
        <f>VLOOKUP(C8,'BD  Materiales y equipos'!$B$3:$K$190,9,FALSE())*0.848244914240128</f>
        <v>30.154716319681615</v>
      </c>
      <c r="O8" s="194">
        <f>VLOOKUP(C8,'BD  Materiales y equipos'!$B$3:$K$190,10,FALSE())*1.31279790366633</f>
        <v>27.089973199761879</v>
      </c>
    </row>
    <row r="9" spans="1:15" ht="13.5" thickBot="1">
      <c r="A9" s="584" t="str">
        <f>IF(VLOOKUP(C9,'BD  Materiales y equipos'!$B$3:$F$190,1,FALSE())=C9,"CORRECTO","NO LISTADO")</f>
        <v>CORRECTO</v>
      </c>
      <c r="B9" s="147" t="s">
        <v>411</v>
      </c>
      <c r="C9" s="147" t="s">
        <v>776</v>
      </c>
      <c r="D9" s="191" t="str">
        <f>VLOOKUP(C9,'BD  Materiales y equipos'!$B$3:$F$190,2,FALSE())</f>
        <v>Unidad</v>
      </c>
      <c r="E9" s="191" t="str">
        <f>VLOOKUP(C9,'BD  Materiales y equipos'!$B$3:$F$190,3,FALSE())</f>
        <v>STD</v>
      </c>
      <c r="F9" s="191">
        <f>VLOOKUP(C9,'BD  Materiales y equipos'!$B$3:$F$190,4,FALSE())</f>
        <v>0</v>
      </c>
      <c r="G9" s="133">
        <v>36</v>
      </c>
      <c r="H9" s="194">
        <f>VLOOKUP(C9,'BD  Materiales y equipos'!$B$3:$I$190,8,FALSE())*G9</f>
        <v>426.44620870146662</v>
      </c>
      <c r="I9" s="594">
        <f t="shared" si="2"/>
        <v>14590.258465739478</v>
      </c>
      <c r="J9" s="594">
        <f t="shared" si="3"/>
        <v>6127.71981735397</v>
      </c>
      <c r="K9" s="435" t="str">
        <f>VLOOKUP(C9,'BD  Materiales y equipos'!$B$3:$L$190,11,FALSE())</f>
        <v>IMPORTADO</v>
      </c>
      <c r="L9" s="436">
        <f t="shared" si="0"/>
        <v>1</v>
      </c>
      <c r="M9" s="421">
        <f t="shared" si="1"/>
        <v>1</v>
      </c>
      <c r="N9" s="194">
        <f>VLOOKUP(C9,'BD  Materiales y equipos'!$B$3:$K$190,9,FALSE())*0.848244914240128</f>
        <v>34.213596388081335</v>
      </c>
      <c r="O9" s="194">
        <f>VLOOKUP(C9,'BD  Materiales y equipos'!$B$3:$K$190,10,FALSE())*1.31279790366633</f>
        <v>14.36926789902282</v>
      </c>
    </row>
    <row r="10" spans="1:15" ht="13.5" thickBot="1">
      <c r="A10" s="584" t="str">
        <f>IF(VLOOKUP(C10,'BD  Materiales y equipos'!$B$3:$F$190,1,FALSE())=C10,"CORRECTO","NO LISTADO")</f>
        <v>CORRECTO</v>
      </c>
      <c r="B10" s="147" t="s">
        <v>411</v>
      </c>
      <c r="C10" s="147" t="s">
        <v>853</v>
      </c>
      <c r="D10" s="191" t="str">
        <f>VLOOKUP(C10,'BD  Materiales y equipos'!$B$3:$F$190,2,FALSE())</f>
        <v>Unidad</v>
      </c>
      <c r="E10" s="191" t="str">
        <f>VLOOKUP(C10,'BD  Materiales y equipos'!$B$3:$F$190,3,FALSE())</f>
        <v>STD</v>
      </c>
      <c r="F10" s="191">
        <f>VLOOKUP(C10,'BD  Materiales y equipos'!$B$3:$F$190,4,FALSE())</f>
        <v>0</v>
      </c>
      <c r="G10" s="133">
        <v>15</v>
      </c>
      <c r="H10" s="194">
        <f>VLOOKUP(C10,'BD  Materiales y equipos'!$B$3:$I$190,8,FALSE())*G10</f>
        <v>58.536985828453624</v>
      </c>
      <c r="I10" s="594">
        <f t="shared" si="2"/>
        <v>4699.5603770616872</v>
      </c>
      <c r="J10" s="594">
        <f t="shared" si="3"/>
        <v>864.85507999990796</v>
      </c>
      <c r="K10" s="435" t="str">
        <f>VLOOKUP(C10,'BD  Materiales y equipos'!$B$3:$L$190,11,FALSE())</f>
        <v>IMPORTADO</v>
      </c>
      <c r="L10" s="436">
        <f t="shared" si="0"/>
        <v>1</v>
      </c>
      <c r="M10" s="421">
        <f t="shared" si="1"/>
        <v>1</v>
      </c>
      <c r="N10" s="194">
        <f>VLOOKUP(C10,'BD  Materiales y equipos'!$B$3:$K$190,9,FALSE())*0.848244914240128</f>
        <v>80.283607202360045</v>
      </c>
      <c r="O10" s="194">
        <f>VLOOKUP(C10,'BD  Materiales y equipos'!$B$3:$K$190,10,FALSE())*1.31279790366633</f>
        <v>14.774506540777843</v>
      </c>
    </row>
    <row r="11" spans="1:15" ht="13.5" thickBot="1">
      <c r="A11" s="584" t="str">
        <f>IF(VLOOKUP(C11,'BD  Materiales y equipos'!$B$3:$F$190,1,FALSE())=C11,"CORRECTO","NO LISTADO")</f>
        <v>CORRECTO</v>
      </c>
      <c r="B11" s="147" t="s">
        <v>411</v>
      </c>
      <c r="C11" s="147" t="s">
        <v>854</v>
      </c>
      <c r="D11" s="191" t="str">
        <f>VLOOKUP(C11,'BD  Materiales y equipos'!$B$3:$F$190,2,FALSE())</f>
        <v>Unidad</v>
      </c>
      <c r="E11" s="191" t="str">
        <f>VLOOKUP(C11,'BD  Materiales y equipos'!$B$3:$F$190,3,FALSE())</f>
        <v>STD</v>
      </c>
      <c r="F11" s="191">
        <f>VLOOKUP(C11,'BD  Materiales y equipos'!$B$3:$F$190,4,FALSE())</f>
        <v>0</v>
      </c>
      <c r="G11" s="133">
        <v>36</v>
      </c>
      <c r="H11" s="194">
        <f>VLOOKUP(C11,'BD  Materiales y equipos'!$B$3:$I$190,8,FALSE())*G11</f>
        <v>416.76553317134159</v>
      </c>
      <c r="I11" s="594">
        <f t="shared" si="2"/>
        <v>11491.272447374204</v>
      </c>
      <c r="J11" s="594">
        <f t="shared" si="3"/>
        <v>5988.6155972180886</v>
      </c>
      <c r="K11" s="435" t="str">
        <f>VLOOKUP(C11,'BD  Materiales y equipos'!$B$3:$L$190,11,FALSE())</f>
        <v>IMPORTADO</v>
      </c>
      <c r="L11" s="436">
        <f t="shared" si="0"/>
        <v>1</v>
      </c>
      <c r="M11" s="421">
        <f t="shared" si="1"/>
        <v>1</v>
      </c>
      <c r="N11" s="194">
        <f>VLOOKUP(C11,'BD  Materiales y equipos'!$B$3:$K$190,9,FALSE())*0.848244914240128</f>
        <v>27.572511478894025</v>
      </c>
      <c r="O11" s="194">
        <f>VLOOKUP(C11,'BD  Materiales y equipos'!$B$3:$K$190,10,FALSE())*1.31279790366633</f>
        <v>14.36926789902282</v>
      </c>
    </row>
    <row r="12" spans="1:15" ht="13.5" thickBot="1">
      <c r="A12" s="584" t="str">
        <f>IF(VLOOKUP(C12,'BD  Materiales y equipos'!$B$3:$F$190,1,FALSE())=C12,"CORRECTO","NO LISTADO")</f>
        <v>CORRECTO</v>
      </c>
      <c r="B12" s="147" t="s">
        <v>411</v>
      </c>
      <c r="C12" s="147" t="s">
        <v>855</v>
      </c>
      <c r="D12" s="191" t="str">
        <f>VLOOKUP(C12,'BD  Materiales y equipos'!$B$3:$F$190,2,FALSE())</f>
        <v>Junta</v>
      </c>
      <c r="E12" s="191">
        <f>VLOOKUP(C12,'BD  Materiales y equipos'!$B$3:$F$190,3,FALSE())</f>
        <v>0</v>
      </c>
      <c r="F12" s="191" t="str">
        <f>VLOOKUP(C12,'BD  Materiales y equipos'!$B$3:$F$190,4,FALSE())</f>
        <v>150#</v>
      </c>
      <c r="G12" s="133">
        <v>24</v>
      </c>
      <c r="H12" s="194">
        <f>VLOOKUP(C12,'BD  Materiales y equipos'!$B$3:$I$190,8,FALSE())*G12</f>
        <v>48.432122115100789</v>
      </c>
      <c r="I12" s="594">
        <f t="shared" si="2"/>
        <v>64.943014067348457</v>
      </c>
      <c r="J12" s="594">
        <f t="shared" si="3"/>
        <v>0</v>
      </c>
      <c r="K12" s="435" t="str">
        <f>VLOOKUP(C12,'BD  Materiales y equipos'!$B$3:$L$190,11,FALSE())</f>
        <v>IMPORTADO</v>
      </c>
      <c r="L12" s="436">
        <f t="shared" si="0"/>
        <v>1</v>
      </c>
      <c r="M12" s="421">
        <f t="shared" si="1"/>
        <v>1</v>
      </c>
      <c r="N12" s="194">
        <f>VLOOKUP(C12,'BD  Materiales y equipos'!$B$3:$K$190,9,FALSE())*0.848244914240128</f>
        <v>1.3409078774828183</v>
      </c>
      <c r="O12" s="194">
        <f>VLOOKUP(C12,'BD  Materiales y equipos'!$B$3:$K$190,10,FALSE())*1.31279790366633</f>
        <v>0</v>
      </c>
    </row>
    <row r="13" spans="1:15" ht="13.5" thickBot="1">
      <c r="A13" s="584" t="str">
        <f>IF(VLOOKUP(C13,'BD  Materiales y equipos'!$B$3:$F$190,1,FALSE())=C13,"CORRECTO","NO LISTADO")</f>
        <v>CORRECTO</v>
      </c>
      <c r="B13" s="147" t="s">
        <v>411</v>
      </c>
      <c r="C13" s="147" t="s">
        <v>856</v>
      </c>
      <c r="D13" s="191" t="str">
        <f>VLOOKUP(C13,'BD  Materiales y equipos'!$B$3:$F$190,2,FALSE())</f>
        <v>Junta</v>
      </c>
      <c r="E13" s="191">
        <f>VLOOKUP(C13,'BD  Materiales y equipos'!$B$3:$F$190,3,FALSE())</f>
        <v>0</v>
      </c>
      <c r="F13" s="191" t="str">
        <f>VLOOKUP(C13,'BD  Materiales y equipos'!$B$3:$F$190,4,FALSE())</f>
        <v>150#</v>
      </c>
      <c r="G13" s="133">
        <v>50</v>
      </c>
      <c r="H13" s="194">
        <f>VLOOKUP(C13,'BD  Materiales y equipos'!$B$3:$I$190,8,FALSE())*G13</f>
        <v>40.360101762583994</v>
      </c>
      <c r="I13" s="594">
        <f t="shared" si="2"/>
        <v>40.810490189377347</v>
      </c>
      <c r="J13" s="594">
        <f t="shared" si="3"/>
        <v>0</v>
      </c>
      <c r="K13" s="435" t="str">
        <f>VLOOKUP(C13,'BD  Materiales y equipos'!$B$3:$L$190,11,FALSE())</f>
        <v>IMPORTADO</v>
      </c>
      <c r="L13" s="436">
        <f t="shared" si="0"/>
        <v>1</v>
      </c>
      <c r="M13" s="421">
        <f t="shared" si="1"/>
        <v>1</v>
      </c>
      <c r="N13" s="194">
        <f>VLOOKUP(C13,'BD  Materiales y equipos'!$B$3:$K$190,9,FALSE())*0.848244914240128</f>
        <v>1.0111592490386356</v>
      </c>
      <c r="O13" s="194">
        <f>VLOOKUP(C13,'BD  Materiales y equipos'!$B$3:$K$190,10,FALSE())*1.31279790366633</f>
        <v>0</v>
      </c>
    </row>
    <row r="14" spans="1:15" ht="13.5" thickBot="1">
      <c r="A14" s="584" t="str">
        <f>IF(VLOOKUP(C14,'BD  Materiales y equipos'!$B$3:$F$190,1,FALSE())=C14,"CORRECTO","NO LISTADO")</f>
        <v>CORRECTO</v>
      </c>
      <c r="B14" s="147" t="s">
        <v>411</v>
      </c>
      <c r="C14" s="147" t="s">
        <v>842</v>
      </c>
      <c r="D14" s="191" t="str">
        <f>VLOOKUP(C14,'BD  Materiales y equipos'!$B$3:$F$190,2,FALSE())</f>
        <v>Junta</v>
      </c>
      <c r="E14" s="191">
        <f>VLOOKUP(C14,'BD  Materiales y equipos'!$B$3:$F$190,3,FALSE())</f>
        <v>0</v>
      </c>
      <c r="F14" s="191" t="str">
        <f>VLOOKUP(C14,'BD  Materiales y equipos'!$B$3:$F$190,4,FALSE())</f>
        <v>150#</v>
      </c>
      <c r="G14" s="133">
        <v>68</v>
      </c>
      <c r="H14" s="194">
        <f>VLOOKUP(C14,'BD  Materiales y equipos'!$B$3:$I$190,8,FALSE())*G14</f>
        <v>36.614068423863301</v>
      </c>
      <c r="I14" s="594">
        <f t="shared" si="2"/>
        <v>33.910448329104732</v>
      </c>
      <c r="J14" s="594">
        <f t="shared" si="3"/>
        <v>0</v>
      </c>
      <c r="K14" s="435" t="str">
        <f>VLOOKUP(C14,'BD  Materiales y equipos'!$B$3:$L$190,11,FALSE())</f>
        <v>IMPORTADO</v>
      </c>
      <c r="L14" s="436">
        <f t="shared" si="0"/>
        <v>1</v>
      </c>
      <c r="M14" s="421">
        <f t="shared" si="1"/>
        <v>1</v>
      </c>
      <c r="N14" s="194">
        <f>VLOOKUP(C14,'BD  Materiales y equipos'!$B$3:$K$190,9,FALSE())*0.848244914240128</f>
        <v>0.92615898174821576</v>
      </c>
      <c r="O14" s="194">
        <f>VLOOKUP(C14,'BD  Materiales y equipos'!$B$3:$K$190,10,FALSE())*1.31279790366633</f>
        <v>0</v>
      </c>
    </row>
    <row r="15" spans="1:15" ht="13.5" thickBot="1">
      <c r="A15" s="584" t="str">
        <f>IF(VLOOKUP(C15,'BD  Materiales y equipos'!$B$3:$F$190,1,FALSE())=C15,"CORRECTO","NO LISTADO")</f>
        <v>CORRECTO</v>
      </c>
      <c r="B15" s="147" t="s">
        <v>411</v>
      </c>
      <c r="C15" s="147" t="s">
        <v>900</v>
      </c>
      <c r="D15" s="191" t="str">
        <f>VLOOKUP(C15,'BD  Materiales y equipos'!$B$3:$F$190,2,FALSE())</f>
        <v>Global</v>
      </c>
      <c r="E15" s="191">
        <f>VLOOKUP(C15,'BD  Materiales y equipos'!$B$3:$F$190,3,FALSE())</f>
        <v>0</v>
      </c>
      <c r="F15" s="191" t="str">
        <f>VLOOKUP(C15,'BD  Materiales y equipos'!$B$3:$F$190,4,FALSE())</f>
        <v>150#</v>
      </c>
      <c r="G15" s="133">
        <v>1</v>
      </c>
      <c r="H15" s="194">
        <f>VLOOKUP(C15,'BD  Materiales y equipos'!$B$3:$I$190,8,FALSE())*G15</f>
        <v>29.676545413664702</v>
      </c>
      <c r="I15" s="594">
        <f t="shared" si="2"/>
        <v>2.2655680847421551</v>
      </c>
      <c r="J15" s="594">
        <f t="shared" si="3"/>
        <v>0</v>
      </c>
      <c r="K15" s="435" t="str">
        <f>VLOOKUP(C15,'BD  Materiales y equipos'!$B$3:$L$190,11,FALSE())</f>
        <v>IMPORTADO</v>
      </c>
      <c r="L15" s="436">
        <f t="shared" si="0"/>
        <v>1</v>
      </c>
      <c r="M15" s="421">
        <f t="shared" si="1"/>
        <v>1</v>
      </c>
      <c r="N15" s="194">
        <f>VLOOKUP(C15,'BD  Materiales y equipos'!$B$3:$K$190,9,FALSE())*0.848244914240128</f>
        <v>7.6342042281611525E-2</v>
      </c>
      <c r="O15" s="194">
        <f>VLOOKUP(C15,'BD  Materiales y equipos'!$B$3:$K$190,10,FALSE())*1.31279790366633</f>
        <v>0</v>
      </c>
    </row>
    <row r="16" spans="1:15" ht="13.5" thickBot="1">
      <c r="A16" s="584" t="str">
        <f>IF(VLOOKUP(C16,'BD  Materiales y equipos'!$B$3:$F$190,1,FALSE())=C16,"CORRECTO","NO LISTADO")</f>
        <v>CORRECTO</v>
      </c>
      <c r="B16" s="147" t="s">
        <v>411</v>
      </c>
      <c r="C16" s="147" t="s">
        <v>893</v>
      </c>
      <c r="D16" s="191" t="str">
        <f>VLOOKUP(C16,'BD  Materiales y equipos'!$B$3:$F$190,2,FALSE())</f>
        <v>Global</v>
      </c>
      <c r="E16" s="191">
        <f>VLOOKUP(C16,'BD  Materiales y equipos'!$B$3:$F$190,3,FALSE())</f>
        <v>0</v>
      </c>
      <c r="F16" s="191">
        <f>VLOOKUP(C16,'BD  Materiales y equipos'!$B$3:$F$190,4,FALSE())</f>
        <v>0</v>
      </c>
      <c r="G16" s="133">
        <v>1</v>
      </c>
      <c r="H16" s="194">
        <f>VLOOKUP(C16,'BD  Materiales y equipos'!$B$3:$I$190,8,FALSE())*G16</f>
        <v>817.15303692867747</v>
      </c>
      <c r="I16" s="594">
        <f t="shared" si="2"/>
        <v>9694.5029254959463</v>
      </c>
      <c r="J16" s="594">
        <f t="shared" si="3"/>
        <v>0</v>
      </c>
      <c r="K16" s="435" t="str">
        <f>VLOOKUP(C16,'BD  Materiales y equipos'!$B$3:$L$190,11,FALSE())</f>
        <v>NACIONAL</v>
      </c>
      <c r="L16" s="436">
        <f t="shared" si="0"/>
        <v>1</v>
      </c>
      <c r="M16" s="421">
        <f t="shared" si="1"/>
        <v>1</v>
      </c>
      <c r="N16" s="194">
        <f>VLOOKUP(C16,'BD  Materiales y equipos'!$B$3:$K$190,9,FALSE())*0.848244914240128</f>
        <v>11.863754385510653</v>
      </c>
      <c r="O16" s="194">
        <f>VLOOKUP(C16,'BD  Materiales y equipos'!$B$3:$K$190,10,FALSE())*1.31279790366633</f>
        <v>0</v>
      </c>
    </row>
    <row r="17" spans="1:17" ht="13.5" thickBot="1">
      <c r="A17" s="584" t="str">
        <f>IF(VLOOKUP(C17,'BD  Materiales y equipos'!$B$3:$F$190,1,FALSE())=C17,"CORRECTO","NO LISTADO")</f>
        <v>CORRECTO</v>
      </c>
      <c r="B17" s="147" t="s">
        <v>411</v>
      </c>
      <c r="C17" s="147" t="s">
        <v>857</v>
      </c>
      <c r="D17" s="191" t="str">
        <f>VLOOKUP(C17,'BD  Materiales y equipos'!$B$3:$F$190,2,FALSE())</f>
        <v>Unidad</v>
      </c>
      <c r="E17" s="191">
        <f>VLOOKUP(C17,'BD  Materiales y equipos'!$B$3:$F$190,3,FALSE())</f>
        <v>0</v>
      </c>
      <c r="F17" s="191" t="str">
        <f>VLOOKUP(C17,'BD  Materiales y equipos'!$B$3:$F$190,4,FALSE())</f>
        <v>150#</v>
      </c>
      <c r="G17" s="133">
        <v>12</v>
      </c>
      <c r="H17" s="194">
        <f>VLOOKUP(C17,'BD  Materiales y equipos'!$B$3:$I$190,8,FALSE())*G17</f>
        <v>734.97357939078552</v>
      </c>
      <c r="I17" s="594">
        <f t="shared" si="2"/>
        <v>9829.5447303346537</v>
      </c>
      <c r="J17" s="594">
        <f t="shared" si="3"/>
        <v>4696.0735023892639</v>
      </c>
      <c r="K17" s="435" t="str">
        <f>VLOOKUP(C17,'BD  Materiales y equipos'!$B$3:$L$190,11,FALSE())</f>
        <v>IMPORTADO</v>
      </c>
      <c r="L17" s="436">
        <f t="shared" si="0"/>
        <v>1</v>
      </c>
      <c r="M17" s="421">
        <f t="shared" si="1"/>
        <v>1</v>
      </c>
      <c r="N17" s="194">
        <f>VLOOKUP(C17,'BD  Materiales y equipos'!$B$3:$K$190,9,FALSE())*0.848244914240128</f>
        <v>13.374010992996912</v>
      </c>
      <c r="O17" s="194">
        <f>VLOOKUP(C17,'BD  Materiales y equipos'!$B$3:$K$190,10,FALSE())*1.31279790366633</f>
        <v>6.3894453271120391</v>
      </c>
    </row>
    <row r="18" spans="1:17" ht="13.5" thickBot="1">
      <c r="A18" s="584" t="str">
        <f>IF(VLOOKUP(C18,'BD  Materiales y equipos'!$B$3:$F$190,1,FALSE())=C18,"CORRECTO","NO LISTADO")</f>
        <v>CORRECTO</v>
      </c>
      <c r="B18" s="147" t="s">
        <v>411</v>
      </c>
      <c r="C18" s="147" t="s">
        <v>858</v>
      </c>
      <c r="D18" s="191" t="str">
        <f>VLOOKUP(C18,'BD  Materiales y equipos'!$B$3:$F$190,2,FALSE())</f>
        <v>Unidad</v>
      </c>
      <c r="E18" s="191">
        <f>VLOOKUP(C18,'BD  Materiales y equipos'!$B$3:$F$190,3,FALSE())</f>
        <v>0</v>
      </c>
      <c r="F18" s="191" t="str">
        <f>VLOOKUP(C18,'BD  Materiales y equipos'!$B$3:$F$190,4,FALSE())</f>
        <v>150#</v>
      </c>
      <c r="G18" s="133">
        <v>12</v>
      </c>
      <c r="H18" s="194">
        <f>VLOOKUP(C18,'BD  Materiales y equipos'!$B$3:$I$190,8,FALSE())*G18</f>
        <v>282.68690099240445</v>
      </c>
      <c r="I18" s="594">
        <f t="shared" si="2"/>
        <v>1739.9855573575544</v>
      </c>
      <c r="J18" s="594">
        <f t="shared" si="3"/>
        <v>2405.7540369576573</v>
      </c>
      <c r="K18" s="435" t="str">
        <f>VLOOKUP(C18,'BD  Materiales y equipos'!$B$3:$L$190,11,FALSE())</f>
        <v>IMPORTADO</v>
      </c>
      <c r="L18" s="436">
        <f t="shared" si="0"/>
        <v>1</v>
      </c>
      <c r="M18" s="421">
        <f t="shared" si="1"/>
        <v>1</v>
      </c>
      <c r="N18" s="194">
        <f>VLOOKUP(C18,'BD  Materiales y equipos'!$B$3:$K$190,9,FALSE())*0.848244914240128</f>
        <v>6.1551686733595989</v>
      </c>
      <c r="O18" s="194">
        <f>VLOOKUP(C18,'BD  Materiales y equipos'!$B$3:$K$190,10,FALSE())*1.31279790366633</f>
        <v>8.5103131008617119</v>
      </c>
    </row>
    <row r="19" spans="1:17" ht="13.5" thickBot="1">
      <c r="A19" s="584" t="str">
        <f>IF(VLOOKUP(C19,'BD  Materiales y equipos'!$B$3:$F$190,1,FALSE())=C19,"CORRECTO","NO LISTADO")</f>
        <v>CORRECTO</v>
      </c>
      <c r="B19" s="147" t="s">
        <v>411</v>
      </c>
      <c r="C19" s="147" t="s">
        <v>859</v>
      </c>
      <c r="D19" s="191" t="str">
        <f>VLOOKUP(C19,'BD  Materiales y equipos'!$B$3:$F$190,2,FALSE())</f>
        <v>Unidad</v>
      </c>
      <c r="E19" s="191">
        <f>VLOOKUP(C19,'BD  Materiales y equipos'!$B$3:$F$190,3,FALSE())</f>
        <v>0</v>
      </c>
      <c r="F19" s="191" t="str">
        <f>VLOOKUP(C19,'BD  Materiales y equipos'!$B$3:$F$190,4,FALSE())</f>
        <v>150#</v>
      </c>
      <c r="G19" s="133">
        <v>44</v>
      </c>
      <c r="H19" s="194">
        <f>VLOOKUP(C19,'BD  Materiales y equipos'!$B$3:$I$190,8,FALSE())*G19</f>
        <v>846.92112363332865</v>
      </c>
      <c r="I19" s="594">
        <f t="shared" si="2"/>
        <v>10900.144314751216</v>
      </c>
      <c r="J19" s="594">
        <f t="shared" si="3"/>
        <v>7207.5639338532383</v>
      </c>
      <c r="K19" s="435" t="str">
        <f>VLOOKUP(C19,'BD  Materiales y equipos'!$B$3:$L$190,11,FALSE())</f>
        <v>IMPORTADO</v>
      </c>
      <c r="L19" s="436">
        <f t="shared" si="0"/>
        <v>1</v>
      </c>
      <c r="M19" s="421">
        <f t="shared" si="1"/>
        <v>1</v>
      </c>
      <c r="N19" s="194">
        <f>VLOOKUP(C19,'BD  Materiales y equipos'!$B$3:$K$190,9,FALSE())*0.848244914240128</f>
        <v>12.870318156653267</v>
      </c>
      <c r="O19" s="194">
        <f>VLOOKUP(C19,'BD  Materiales y equipos'!$B$3:$K$190,10,FALSE())*1.31279790366633</f>
        <v>8.5103131008617119</v>
      </c>
    </row>
    <row r="20" spans="1:17" ht="13.5" thickBot="1">
      <c r="A20" s="584" t="str">
        <f>IF(VLOOKUP(C20,'BD  Materiales y equipos'!$B$3:$F$190,1,FALSE())=C20,"CORRECTO","NO LISTADO")</f>
        <v>CORRECTO</v>
      </c>
      <c r="B20" s="147" t="s">
        <v>411</v>
      </c>
      <c r="C20" s="147" t="s">
        <v>894</v>
      </c>
      <c r="D20" s="191" t="str">
        <f>VLOOKUP(C20,'BD  Materiales y equipos'!$B$3:$F$190,2,FALSE())</f>
        <v>Unidad</v>
      </c>
      <c r="E20" s="191">
        <f>VLOOKUP(C20,'BD  Materiales y equipos'!$B$3:$F$190,3,FALSE())</f>
        <v>0</v>
      </c>
      <c r="F20" s="191">
        <f>VLOOKUP(C20,'BD  Materiales y equipos'!$B$3:$F$190,4,FALSE())</f>
        <v>0</v>
      </c>
      <c r="G20" s="133">
        <v>6</v>
      </c>
      <c r="H20" s="194">
        <f>VLOOKUP(C20,'BD  Materiales y equipos'!$B$3:$I$190,8,FALSE())*G20</f>
        <v>89.029636240994108</v>
      </c>
      <c r="I20" s="594">
        <f t="shared" si="2"/>
        <v>8528.3534603310545</v>
      </c>
      <c r="J20" s="594">
        <f t="shared" si="3"/>
        <v>13199.023485425392</v>
      </c>
      <c r="K20" s="435" t="str">
        <f>VLOOKUP(C20,'BD  Materiales y equipos'!$B$3:$L$190,11,FALSE())</f>
        <v>IMPORTADO</v>
      </c>
      <c r="L20" s="436">
        <f t="shared" si="0"/>
        <v>1</v>
      </c>
      <c r="M20" s="421">
        <f t="shared" si="1"/>
        <v>1</v>
      </c>
      <c r="N20" s="194">
        <f>VLOOKUP(C20,'BD  Materiales y equipos'!$B$3:$K$190,9,FALSE())*0.848244914240128</f>
        <v>95.792298165137666</v>
      </c>
      <c r="O20" s="194">
        <f>VLOOKUP(C20,'BD  Materiales y equipos'!$B$3:$K$190,10,FALSE())*1.31279790366633</f>
        <v>148.25426726103865</v>
      </c>
    </row>
    <row r="21" spans="1:17" ht="26.25" thickBot="1">
      <c r="A21" s="584" t="str">
        <f>IF(VLOOKUP(C21,'BD  Materiales y equipos'!$B$3:$F$190,1,FALSE())=C21,"CORRECTO","NO LISTADO")</f>
        <v>CORRECTO</v>
      </c>
      <c r="B21" s="147" t="s">
        <v>412</v>
      </c>
      <c r="C21" s="147" t="s">
        <v>864</v>
      </c>
      <c r="D21" s="191" t="str">
        <f>VLOOKUP(C21,'BD  Materiales y equipos'!$B$3:$F$190,2,FALSE())</f>
        <v>Unidad</v>
      </c>
      <c r="E21" s="191">
        <f>VLOOKUP(C21,'BD  Materiales y equipos'!$B$3:$F$190,3,FALSE())</f>
        <v>50</v>
      </c>
      <c r="F21" s="191" t="str">
        <f>VLOOKUP(C21,'BD  Materiales y equipos'!$B$3:$F$190,4,FALSE())</f>
        <v>150#</v>
      </c>
      <c r="G21" s="133">
        <v>26</v>
      </c>
      <c r="H21" s="194">
        <f>VLOOKUP(C21,'BD  Materiales y equipos'!$B$3:$I$190,8,FALSE())*G21</f>
        <v>385.79509037764115</v>
      </c>
      <c r="I21" s="594">
        <f t="shared" si="2"/>
        <v>40551.429539148492</v>
      </c>
      <c r="J21" s="594">
        <f t="shared" si="3"/>
        <v>12950.210364577733</v>
      </c>
      <c r="K21" s="435" t="str">
        <f>VLOOKUP(C21,'BD  Materiales y equipos'!$B$3:$L$190,11,FALSE())</f>
        <v>NACIONAL</v>
      </c>
      <c r="L21" s="436">
        <f>+ipc/ipc_base*trm_base/trm</f>
        <v>1</v>
      </c>
      <c r="M21" s="421">
        <f t="shared" si="1"/>
        <v>1</v>
      </c>
      <c r="N21" s="194">
        <f>VLOOKUP(C21,'BD  Materiales y equipos'!$B$3:$K$190,9,FALSE())*1.12966069892131</f>
        <v>105.11131569728929</v>
      </c>
      <c r="O21" s="194">
        <f>VLOOKUP(C21,'BD  Materiales y equipos'!$B$3:$K$190,10,FALSE())*1.31279790366633</f>
        <v>33.56758726997078</v>
      </c>
      <c r="Q21" s="70"/>
    </row>
    <row r="22" spans="1:17" ht="26.25" thickBot="1">
      <c r="A22" s="584" t="str">
        <f>IF(VLOOKUP(C22,'BD  Materiales y equipos'!$B$3:$F$190,1,FALSE())=C22,"CORRECTO","NO LISTADO")</f>
        <v>CORRECTO</v>
      </c>
      <c r="B22" s="147" t="s">
        <v>412</v>
      </c>
      <c r="C22" s="147" t="s">
        <v>865</v>
      </c>
      <c r="D22" s="191" t="str">
        <f>VLOOKUP(C22,'BD  Materiales y equipos'!$B$3:$F$190,2,FALSE())</f>
        <v>Unidad</v>
      </c>
      <c r="E22" s="191">
        <f>VLOOKUP(C22,'BD  Materiales y equipos'!$B$3:$F$190,3,FALSE())</f>
        <v>50</v>
      </c>
      <c r="F22" s="191" t="str">
        <f>VLOOKUP(C22,'BD  Materiales y equipos'!$B$3:$F$190,4,FALSE())</f>
        <v>150#</v>
      </c>
      <c r="G22" s="133">
        <v>8</v>
      </c>
      <c r="H22" s="194">
        <f>VLOOKUP(C22,'BD  Materiales y equipos'!$B$3:$I$190,8,FALSE())*G22</f>
        <v>118.70618165465881</v>
      </c>
      <c r="I22" s="594">
        <f t="shared" si="2"/>
        <v>13980.101656535246</v>
      </c>
      <c r="J22" s="594">
        <f t="shared" si="3"/>
        <v>3984.6801121777639</v>
      </c>
      <c r="K22" s="435" t="str">
        <f>VLOOKUP(C22,'BD  Materiales y equipos'!$B$3:$L$190,11,FALSE())</f>
        <v>IMPORTADO</v>
      </c>
      <c r="L22" s="436">
        <f>+ppi_usa_inst_tablero/ppi_usa_inst_tableros_base</f>
        <v>1</v>
      </c>
      <c r="M22" s="421">
        <f t="shared" si="1"/>
        <v>1</v>
      </c>
      <c r="N22" s="194">
        <f>VLOOKUP(C22,'BD  Materiales y equipos'!$B$3:$K$190,9,FALSE())*1.21831900216938</f>
        <v>117.77062880521501</v>
      </c>
      <c r="O22" s="194">
        <f>VLOOKUP(C22,'BD  Materiales y equipos'!$B$3:$K$190,10,FALSE())*1.31279790366633</f>
        <v>33.56758726997078</v>
      </c>
      <c r="Q22" s="70"/>
    </row>
    <row r="23" spans="1:17" ht="26.25" thickBot="1">
      <c r="A23" s="584" t="str">
        <f>IF(VLOOKUP(C23,'BD  Materiales y equipos'!$B$3:$F$190,1,FALSE())=C23,"CORRECTO","NO LISTADO")</f>
        <v>CORRECTO</v>
      </c>
      <c r="B23" s="147" t="s">
        <v>412</v>
      </c>
      <c r="C23" s="147" t="s">
        <v>866</v>
      </c>
      <c r="D23" s="191" t="str">
        <f>VLOOKUP(C23,'BD  Materiales y equipos'!$B$3:$F$190,2,FALSE())</f>
        <v>Unidad</v>
      </c>
      <c r="E23" s="191">
        <f>VLOOKUP(C23,'BD  Materiales y equipos'!$B$3:$F$190,3,FALSE())</f>
        <v>25</v>
      </c>
      <c r="F23" s="191" t="str">
        <f>VLOOKUP(C23,'BD  Materiales y equipos'!$B$3:$F$190,4,FALSE())</f>
        <v>150#</v>
      </c>
      <c r="G23" s="133">
        <v>34</v>
      </c>
      <c r="H23" s="194">
        <f>VLOOKUP(C23,'BD  Materiales y equipos'!$B$3:$I$190,8,FALSE())*G23</f>
        <v>252.25063601614997</v>
      </c>
      <c r="I23" s="594">
        <f t="shared" si="2"/>
        <v>30707.034185669207</v>
      </c>
      <c r="J23" s="594">
        <f t="shared" si="3"/>
        <v>6772.6859042548804</v>
      </c>
      <c r="K23" s="435" t="str">
        <f>VLOOKUP(C23,'BD  Materiales y equipos'!$B$3:$L$190,11,FALSE())</f>
        <v>NACIONAL</v>
      </c>
      <c r="L23" s="436">
        <f>+ipc/ipc_base*trm_base/trm</f>
        <v>1</v>
      </c>
      <c r="M23" s="421">
        <f t="shared" si="1"/>
        <v>1</v>
      </c>
      <c r="N23" s="194">
        <f>VLOOKUP(C23,'BD  Materiales y equipos'!$B$3:$K$190,9,FALSE())*1.12966069892131</f>
        <v>121.73223691576038</v>
      </c>
      <c r="O23" s="194">
        <f>VLOOKUP(C23,'BD  Materiales y equipos'!$B$3:$K$190,10,FALSE())*1.31279790366633</f>
        <v>26.849034005294914</v>
      </c>
      <c r="Q23" s="70"/>
    </row>
    <row r="24" spans="1:17" ht="26.25" thickBot="1">
      <c r="A24" s="584" t="str">
        <f>IF(VLOOKUP(C24,'BD  Materiales y equipos'!$B$3:$F$190,1,FALSE())=C24,"CORRECTO","NO LISTADO")</f>
        <v>CORRECTO</v>
      </c>
      <c r="B24" s="147" t="s">
        <v>412</v>
      </c>
      <c r="C24" s="147" t="s">
        <v>895</v>
      </c>
      <c r="D24" s="191" t="str">
        <f>VLOOKUP(C24,'BD  Materiales y equipos'!$B$3:$F$190,2,FALSE())</f>
        <v>Unidad</v>
      </c>
      <c r="E24" s="191">
        <f>VLOOKUP(C24,'BD  Materiales y equipos'!$B$3:$F$190,3,FALSE())</f>
        <v>0</v>
      </c>
      <c r="F24" s="191" t="str">
        <f>VLOOKUP(C24,'BD  Materiales y equipos'!$B$3:$F$190,4,FALSE())</f>
        <v>150#</v>
      </c>
      <c r="G24" s="133">
        <v>6</v>
      </c>
      <c r="H24" s="194">
        <f>VLOOKUP(C24,'BD  Materiales y equipos'!$B$3:$I$190,8,FALSE())*G24</f>
        <v>213.67112697838584</v>
      </c>
      <c r="I24" s="594">
        <f t="shared" si="2"/>
        <v>3291.6132161072214</v>
      </c>
      <c r="J24" s="594">
        <f t="shared" si="3"/>
        <v>1628.259514466848</v>
      </c>
      <c r="K24" s="435" t="str">
        <f>VLOOKUP(C24,'BD  Materiales y equipos'!$B$3:$L$190,11,FALSE())</f>
        <v>NACIONAL</v>
      </c>
      <c r="L24" s="436">
        <f>+ipc/ipc_base*trm_base/trm</f>
        <v>1</v>
      </c>
      <c r="M24" s="421">
        <f t="shared" si="1"/>
        <v>1</v>
      </c>
      <c r="N24" s="194">
        <f>VLOOKUP(C24,'BD  Materiales y equipos'!$B$3:$K$190,9,FALSE())*1.12966069892131</f>
        <v>15.405044484275072</v>
      </c>
      <c r="O24" s="194">
        <f>VLOOKUP(C24,'BD  Materiales y equipos'!$B$3:$K$190,10,FALSE())*1.31279790366633</f>
        <v>7.6204002735079719</v>
      </c>
      <c r="Q24" s="70"/>
    </row>
    <row r="25" spans="1:17" ht="13.5" thickBot="1">
      <c r="A25" s="584" t="str">
        <f>IF(VLOOKUP(C25,'BD  Materiales y equipos'!$B$3:$F$190,1,FALSE())=C25,"CORRECTO","NO LISTADO")</f>
        <v>CORRECTO</v>
      </c>
      <c r="B25" s="147" t="s">
        <v>412</v>
      </c>
      <c r="C25" s="147" t="s">
        <v>869</v>
      </c>
      <c r="D25" s="191" t="str">
        <f>VLOOKUP(C25,'BD  Materiales y equipos'!$B$3:$F$190,2,FALSE())</f>
        <v>Unidad</v>
      </c>
      <c r="E25" s="191">
        <f>VLOOKUP(C25,'BD  Materiales y equipos'!$B$3:$F$190,3,FALSE())</f>
        <v>25</v>
      </c>
      <c r="F25" s="191" t="str">
        <f>VLOOKUP(C25,'BD  Materiales y equipos'!$B$3:$F$190,4,FALSE())</f>
        <v>150#</v>
      </c>
      <c r="G25" s="133">
        <v>2</v>
      </c>
      <c r="H25" s="194">
        <f>VLOOKUP(C25,'BD  Materiales y equipos'!$B$3:$I$190,8,FALSE())*G25</f>
        <v>14.838272706832351</v>
      </c>
      <c r="I25" s="594">
        <f t="shared" si="2"/>
        <v>2239.8916464484109</v>
      </c>
      <c r="J25" s="594">
        <f t="shared" si="3"/>
        <v>1053.750887793783</v>
      </c>
      <c r="K25" s="435" t="str">
        <f>VLOOKUP(C25,'BD  Materiales y equipos'!$B$3:$L$190,11,FALSE())</f>
        <v>IMPORTADO</v>
      </c>
      <c r="L25" s="436">
        <f>+acero/acero_base</f>
        <v>1</v>
      </c>
      <c r="M25" s="421">
        <f t="shared" si="1"/>
        <v>1</v>
      </c>
      <c r="N25" s="194">
        <f>VLOOKUP(C25,'BD  Materiales y equipos'!$B$3:$K$190,9,FALSE())*0.848244914240128</f>
        <v>150.9536649381732</v>
      </c>
      <c r="O25" s="194">
        <f>VLOOKUP(C25,'BD  Materiales y equipos'!$B$3:$K$190,10,FALSE())*1.31279790366633</f>
        <v>71.01573805882262</v>
      </c>
      <c r="Q25" s="70"/>
    </row>
    <row r="26" spans="1:17" ht="26.25" thickBot="1">
      <c r="A26" s="584" t="str">
        <f>IF(VLOOKUP(C26,'BD  Materiales y equipos'!$B$3:$F$190,1,FALSE())=C26,"CORRECTO","NO LISTADO")</f>
        <v>CORRECTO</v>
      </c>
      <c r="B26" s="147" t="s">
        <v>412</v>
      </c>
      <c r="C26" s="147" t="s">
        <v>870</v>
      </c>
      <c r="D26" s="191" t="str">
        <f>VLOOKUP(C26,'BD  Materiales y equipos'!$B$3:$F$190,2,FALSE())</f>
        <v>Global</v>
      </c>
      <c r="E26" s="191">
        <f>VLOOKUP(C26,'BD  Materiales y equipos'!$B$3:$F$190,3,FALSE())</f>
        <v>3000</v>
      </c>
      <c r="F26" s="191">
        <f>VLOOKUP(C26,'BD  Materiales y equipos'!$B$3:$F$190,4,FALSE())</f>
        <v>0</v>
      </c>
      <c r="G26" s="133">
        <v>1</v>
      </c>
      <c r="H26" s="194">
        <f>VLOOKUP(C26,'BD  Materiales y equipos'!$B$3:$I$190,8,FALSE())*G26</f>
        <v>890.29636240994103</v>
      </c>
      <c r="I26" s="594">
        <f t="shared" si="2"/>
        <v>22816.678070980448</v>
      </c>
      <c r="J26" s="594">
        <f t="shared" si="3"/>
        <v>18809.822531382175</v>
      </c>
      <c r="K26" s="435" t="str">
        <f>VLOOKUP(C26,'BD  Materiales y equipos'!$B$3:$L$190,11,FALSE())</f>
        <v>NACIONAL</v>
      </c>
      <c r="L26" s="436">
        <f>+ipc/ipc_base*trm_base/trm</f>
        <v>1</v>
      </c>
      <c r="M26" s="421">
        <f t="shared" si="1"/>
        <v>1</v>
      </c>
      <c r="N26" s="194">
        <f>VLOOKUP(C26,'BD  Materiales y equipos'!$B$3:$K$190,9,FALSE())*1.12966069892131</f>
        <v>25.628182967318924</v>
      </c>
      <c r="O26" s="194">
        <f>VLOOKUP(C26,'BD  Materiales y equipos'!$B$3:$K$190,10,FALSE())*1.31279790366633</f>
        <v>21.127596748195074</v>
      </c>
      <c r="Q26" s="70"/>
    </row>
    <row r="27" spans="1:17" ht="13.5" thickBot="1">
      <c r="A27" s="584" t="str">
        <f>IF(VLOOKUP(C27,'BD  Materiales y equipos'!$B$3:$F$190,1,FALSE())=C27,"CORRECTO","NO LISTADO")</f>
        <v>CORRECTO</v>
      </c>
      <c r="B27" s="147" t="s">
        <v>412</v>
      </c>
      <c r="C27" s="147" t="s">
        <v>872</v>
      </c>
      <c r="D27" s="191" t="str">
        <f>VLOOKUP(C27,'BD  Materiales y equipos'!$B$3:$F$190,2,FALSE())</f>
        <v>Global</v>
      </c>
      <c r="E27" s="191">
        <f>VLOOKUP(C27,'BD  Materiales y equipos'!$B$3:$F$190,3,FALSE())</f>
        <v>200</v>
      </c>
      <c r="F27" s="191">
        <f>VLOOKUP(C27,'BD  Materiales y equipos'!$B$3:$F$190,4,FALSE())</f>
        <v>0</v>
      </c>
      <c r="G27" s="133">
        <v>1</v>
      </c>
      <c r="H27" s="194">
        <f>VLOOKUP(C27,'BD  Materiales y equipos'!$B$3:$I$190,8,FALSE())*G27</f>
        <v>59.353090827329403</v>
      </c>
      <c r="I27" s="594">
        <f t="shared" si="2"/>
        <v>40351.344877930467</v>
      </c>
      <c r="J27" s="594">
        <f t="shared" si="3"/>
        <v>1439780.1230988875</v>
      </c>
      <c r="K27" s="435" t="str">
        <f>VLOOKUP(C27,'BD  Materiales y equipos'!$B$3:$L$190,11,FALSE())</f>
        <v>IMPORTADO</v>
      </c>
      <c r="L27" s="436">
        <f>+ppi_usa_inst_tablero/ppi_usa_inst_tableros_base</f>
        <v>1</v>
      </c>
      <c r="M27" s="421">
        <f t="shared" si="1"/>
        <v>1</v>
      </c>
      <c r="N27" s="194">
        <f>VLOOKUP(C27,'BD  Materiales y equipos'!$B$3:$K$190,9,FALSE())*1.21831900216938</f>
        <v>679.85246118556825</v>
      </c>
      <c r="O27" s="194">
        <f>VLOOKUP(C27,'BD  Materiales y equipos'!$B$3:$K$190,10,FALSE())*1.31279790366633</f>
        <v>24257.879463893634</v>
      </c>
      <c r="Q27" s="70"/>
    </row>
    <row r="28" spans="1:17" ht="13.5" thickBot="1">
      <c r="A28" s="585" t="str">
        <f>IF(VLOOKUP(C28,'BD  Materiales y equipos'!$B$3:$F$190,1,FALSE())=C28,"CORRECTO","NO LISTADO")</f>
        <v>CORRECTO</v>
      </c>
      <c r="B28" s="586" t="s">
        <v>412</v>
      </c>
      <c r="C28" s="586" t="s">
        <v>873</v>
      </c>
      <c r="D28" s="587" t="str">
        <f>VLOOKUP(C28,'BD  Materiales y equipos'!$B$3:$F$190,2,FALSE())</f>
        <v>Global</v>
      </c>
      <c r="E28" s="587">
        <f>VLOOKUP(C28,'BD  Materiales y equipos'!$B$3:$F$190,3,FALSE())</f>
        <v>300</v>
      </c>
      <c r="F28" s="587">
        <f>VLOOKUP(C28,'BD  Materiales y equipos'!$B$3:$F$190,4,FALSE())</f>
        <v>0</v>
      </c>
      <c r="G28" s="599">
        <v>1</v>
      </c>
      <c r="H28" s="589">
        <f>VLOOKUP(C28,'BD  Materiales y equipos'!$B$3:$I$190,8,FALSE())*G28</f>
        <v>89.029636240994108</v>
      </c>
      <c r="I28" s="589">
        <f t="shared" si="2"/>
        <v>27397.55262591226</v>
      </c>
      <c r="J28" s="589">
        <f t="shared" si="3"/>
        <v>1059425.0386448831</v>
      </c>
      <c r="K28" s="600" t="str">
        <f>VLOOKUP(C28,'BD  Materiales y equipos'!$B$3:$L$190,11,FALSE())</f>
        <v>IMPORTADO</v>
      </c>
      <c r="L28" s="436">
        <f>+ppi_usa_inst_tablero/ppi_usa_inst_tableros_base</f>
        <v>1</v>
      </c>
      <c r="M28" s="421">
        <f t="shared" si="1"/>
        <v>1</v>
      </c>
      <c r="N28" s="589">
        <f>VLOOKUP(C28,'BD  Materiales y equipos'!$B$3:$K$190,9,FALSE())*1.21831900216938</f>
        <v>307.73519675796371</v>
      </c>
      <c r="O28" s="589">
        <f>VLOOKUP(C28,'BD  Materiales y equipos'!$B$3:$K$190,10,FALSE())*1.31279790366633</f>
        <v>11899.689624442899</v>
      </c>
      <c r="Q28" s="70"/>
    </row>
    <row r="29" spans="1:17">
      <c r="C29" s="251"/>
    </row>
  </sheetData>
  <sheetProtection algorithmName="SHA-512" hashValue="tMINVt5eKU2oLvb7c5YfhbWq9O8sVMhf3wg34ZwxEZgGNpTssxltXVfRtkR14wajSIg1hJQEBnUOOuwswGlG6A==" saltValue="8+qLOSYOdbdKOMWY6wXBng==" spinCount="100000"/>
  <autoFilter ref="A1:K28" xr:uid="{00000000-0009-0000-0000-00001C000000}"/>
  <conditionalFormatting sqref="A2:A28">
    <cfRule type="cellIs" dxfId="3" priority="2" operator="equal">
      <formula>"CORRECTO"</formula>
    </cfRule>
    <cfRule type="cellIs" dxfId="2"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29">
    <tabColor theme="5" tint="0.59999389629810485"/>
  </sheetPr>
  <dimension ref="A1:N3"/>
  <sheetViews>
    <sheetView showGridLines="0" showRowColHeaders="0" topLeftCell="D1" zoomScaleNormal="100" workbookViewId="0">
      <pane ySplit="1" topLeftCell="A2" activePane="bottomLeft" state="frozen"/>
      <selection activeCell="C17" sqref="C17:H17"/>
      <selection pane="bottomLeft" activeCell="C17" sqref="C17:H17"/>
    </sheetView>
  </sheetViews>
  <sheetFormatPr baseColWidth="10" defaultColWidth="9.140625" defaultRowHeight="12.75"/>
  <cols>
    <col min="1" max="1" width="15.140625" customWidth="1"/>
    <col min="2" max="2" width="19.140625" customWidth="1"/>
    <col min="3" max="3" width="65" customWidth="1"/>
    <col min="4" max="4" width="10.7109375" style="122" customWidth="1"/>
    <col min="5" max="5" width="14" customWidth="1"/>
    <col min="6" max="6" width="6.85546875" customWidth="1"/>
    <col min="7" max="7" width="13.42578125" style="122" customWidth="1"/>
    <col min="8" max="8" width="20.140625" customWidth="1"/>
    <col min="9" max="9" width="15.42578125" customWidth="1"/>
    <col min="10" max="10" width="18" customWidth="1"/>
    <col min="11" max="11" width="23" customWidth="1"/>
    <col min="12" max="12" width="11.42578125"/>
    <col min="13" max="13" width="22.140625" customWidth="1"/>
    <col min="14" max="14" width="16.28515625" customWidth="1"/>
    <col min="15" max="15" width="20.140625" customWidth="1"/>
    <col min="16" max="16" width="15.42578125" customWidth="1"/>
    <col min="17" max="17" width="13.42578125" customWidth="1"/>
    <col min="18" max="1023" width="10.42578125" customWidth="1"/>
    <col min="1024" max="1025" width="11.42578125"/>
  </cols>
  <sheetData>
    <row r="1" spans="1:14" ht="75.75" thickBot="1">
      <c r="A1" s="596" t="s">
        <v>955</v>
      </c>
      <c r="B1" s="597" t="s">
        <v>956</v>
      </c>
      <c r="C1" s="597" t="s">
        <v>957</v>
      </c>
      <c r="D1" s="597" t="s">
        <v>699</v>
      </c>
      <c r="E1" s="597" t="s">
        <v>700</v>
      </c>
      <c r="F1" s="597" t="s">
        <v>701</v>
      </c>
      <c r="G1" s="597" t="s">
        <v>673</v>
      </c>
      <c r="H1" s="598" t="s">
        <v>958</v>
      </c>
      <c r="I1" s="597" t="s">
        <v>964</v>
      </c>
      <c r="J1" s="597" t="s">
        <v>960</v>
      </c>
      <c r="K1" s="604" t="s">
        <v>706</v>
      </c>
      <c r="L1" s="502" t="s">
        <v>1022</v>
      </c>
      <c r="M1" s="597" t="s">
        <v>1023</v>
      </c>
      <c r="N1" s="597" t="s">
        <v>1024</v>
      </c>
    </row>
    <row r="2" spans="1:14" ht="39" thickBot="1">
      <c r="A2" s="590" t="str">
        <f>IF(VLOOKUP(C2,'BD  Materiales y equipos'!$B$3:$F$190,1,FALSE())=C2,"CORRECTO","NO LISTADO")</f>
        <v>CORRECTO</v>
      </c>
      <c r="B2" s="591" t="s">
        <v>412</v>
      </c>
      <c r="C2" s="591" t="s">
        <v>863</v>
      </c>
      <c r="D2" s="592" t="str">
        <f>VLOOKUP(C2,'BD  Materiales y equipos'!$B$3:$F$190,2,FALSE())</f>
        <v>Unidad</v>
      </c>
      <c r="E2" s="592">
        <f>VLOOKUP(C2,'BD  Materiales y equipos'!$B$3:$F$190,3,FALSE())</f>
        <v>1000</v>
      </c>
      <c r="F2" s="592" t="str">
        <f>VLOOKUP(C2,'BD  Materiales y equipos'!$B$3:$F$190,4,FALSE())</f>
        <v>150#</v>
      </c>
      <c r="G2" s="593">
        <v>1</v>
      </c>
      <c r="H2" s="594">
        <f>VLOOKUP(C2,'BD  Materiales y equipos'!$B$3:$I$190,8,FALSE())*G2</f>
        <v>296.76545413664701</v>
      </c>
      <c r="I2" s="594">
        <f>M2*H2*L2</f>
        <v>65069.55336100264</v>
      </c>
      <c r="J2" s="594">
        <f>N2*H2*L2</f>
        <v>21148.325064371198</v>
      </c>
      <c r="K2" s="592" t="str">
        <f>VLOOKUP(C2,'BD  Materiales y equipos'!$B$3:$L$190,11,FALSE())</f>
        <v>IMPORTADO</v>
      </c>
      <c r="L2" s="595">
        <f>(0.65*ipc/ipc_base*trm_base/trm+0.35*fac_mano_obra)</f>
        <v>1</v>
      </c>
      <c r="M2" s="594">
        <f>VLOOKUP(C2,'BD  Materiales y equipos'!$B$3:$K$190,9,FALSE())*1.143</f>
        <v>219.26256056421266</v>
      </c>
      <c r="N2" s="594">
        <f>VLOOKUP(C2,'BD  Materiales y equipos'!$B$3:$K$190,10,FALSE())*1.143</f>
        <v>71.262759089989487</v>
      </c>
    </row>
    <row r="3" spans="1:14" ht="30.75" thickBot="1">
      <c r="A3" s="585" t="str">
        <f>IF(VLOOKUP(C3,'BD  Materiales y equipos'!$B$3:$F$190,1,FALSE())=C3,"CORRECTO","NO LISTADO")</f>
        <v>CORRECTO</v>
      </c>
      <c r="B3" s="586" t="s">
        <v>412</v>
      </c>
      <c r="C3" s="586" t="s">
        <v>871</v>
      </c>
      <c r="D3" s="587" t="str">
        <f>VLOOKUP(C3,'BD  Materiales y equipos'!$B$3:$F$190,2,FALSE())</f>
        <v>Global</v>
      </c>
      <c r="E3" s="587">
        <f>VLOOKUP(C3,'BD  Materiales y equipos'!$B$3:$F$190,3,FALSE())</f>
        <v>1500</v>
      </c>
      <c r="F3" s="587">
        <f>VLOOKUP(C3,'BD  Materiales y equipos'!$B$3:$F$190,4,FALSE())</f>
        <v>0</v>
      </c>
      <c r="G3" s="588">
        <v>2</v>
      </c>
      <c r="H3" s="589">
        <f>VLOOKUP(C3,'BD  Materiales y equipos'!$B$3:$I$190,8,FALSE())*G3</f>
        <v>890.29636240994103</v>
      </c>
      <c r="I3" s="589">
        <f>M3*H3*L3</f>
        <v>29296.95568893306</v>
      </c>
      <c r="J3" s="589">
        <f>N3*H3*L3</f>
        <v>3375581.191478224</v>
      </c>
      <c r="K3" s="587" t="str">
        <f>VLOOKUP(C3,'BD  Materiales y equipos'!$B$3:$L$190,11,FALSE())</f>
        <v>IMPORTADO</v>
      </c>
      <c r="L3" s="595">
        <f>(0.65*ipc/ipc_base*trm_base/trm+0.35*fac_mano_obra)</f>
        <v>1</v>
      </c>
      <c r="M3" s="594">
        <f>VLOOKUP(C3,'BD  Materiales y equipos'!$B$3:$K$190,9,FALSE())*1.143</f>
        <v>32.906970000000001</v>
      </c>
      <c r="N3" s="594">
        <f>VLOOKUP(C3,'BD  Materiales y equipos'!$B$3:$K$190,10,FALSE())*1.143</f>
        <v>3791.52531</v>
      </c>
    </row>
  </sheetData>
  <sheetProtection algorithmName="SHA-512" hashValue="qI6DKu4IPjthJw1ppEqbBDcwXziGRgjm+s0q4xA6bCEfqnwUPLuQzyOwG2SX4Ym8AGyQB3PlNjhwTXt3slHesA==" saltValue="0zhbIKTHIpOPqwakRrjs9g==" spinCount="100000"/>
  <conditionalFormatting sqref="A2:A3">
    <cfRule type="cellIs" dxfId="1" priority="2" operator="equal">
      <formula>"CORRECTO"</formula>
    </cfRule>
    <cfRule type="cellIs" dxfId="0" priority="3" operator="notEqual">
      <formula>"CORRECTO"</formula>
    </cfRule>
  </conditionalFormatting>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2">
    <tabColor theme="9" tint="-0.499984740745262"/>
  </sheetPr>
  <dimension ref="B1:AH5874"/>
  <sheetViews>
    <sheetView showGridLines="0" workbookViewId="0">
      <selection activeCell="C33" sqref="C33"/>
    </sheetView>
  </sheetViews>
  <sheetFormatPr baseColWidth="10" defaultColWidth="11.42578125" defaultRowHeight="12.75"/>
  <cols>
    <col min="2" max="2" width="47.85546875" bestFit="1" customWidth="1"/>
    <col min="3" max="3" width="21.85546875" customWidth="1"/>
    <col min="4" max="4" width="17.85546875" customWidth="1"/>
    <col min="5" max="6" width="21.85546875" customWidth="1"/>
    <col min="7" max="7" width="45.140625" customWidth="1"/>
    <col min="8" max="20" width="11.42578125" style="652"/>
    <col min="29" max="30" width="11.42578125" style="652"/>
    <col min="32" max="34" width="11.42578125" style="652"/>
  </cols>
  <sheetData>
    <row r="1" spans="2:34">
      <c r="H1"/>
      <c r="I1"/>
      <c r="J1"/>
      <c r="K1"/>
      <c r="L1" s="374"/>
      <c r="M1"/>
      <c r="N1" s="374"/>
      <c r="O1" s="374"/>
      <c r="P1" s="374"/>
      <c r="Q1" s="374"/>
      <c r="R1"/>
      <c r="S1"/>
      <c r="T1"/>
      <c r="AC1"/>
      <c r="AD1"/>
      <c r="AF1"/>
      <c r="AG1"/>
      <c r="AH1"/>
    </row>
    <row r="2" spans="2:34">
      <c r="C2" t="s">
        <v>110</v>
      </c>
      <c r="H2"/>
      <c r="I2"/>
      <c r="J2"/>
      <c r="K2"/>
      <c r="L2"/>
      <c r="M2"/>
      <c r="N2"/>
      <c r="O2"/>
      <c r="P2"/>
      <c r="Q2"/>
      <c r="R2"/>
      <c r="S2"/>
      <c r="T2"/>
      <c r="AC2"/>
      <c r="AD2"/>
      <c r="AF2"/>
      <c r="AG2"/>
      <c r="AH2"/>
    </row>
    <row r="3" spans="2:34" ht="64.5">
      <c r="B3" s="351" t="s">
        <v>111</v>
      </c>
      <c r="F3" s="354" t="s">
        <v>112</v>
      </c>
      <c r="H3" s="233" t="s">
        <v>113</v>
      </c>
      <c r="I3" s="233" t="s">
        <v>114</v>
      </c>
      <c r="J3" s="233" t="s">
        <v>115</v>
      </c>
      <c r="K3" s="233" t="s">
        <v>116</v>
      </c>
      <c r="L3" s="233" t="s">
        <v>117</v>
      </c>
      <c r="M3" s="233" t="s">
        <v>118</v>
      </c>
      <c r="N3" s="233" t="s">
        <v>119</v>
      </c>
      <c r="O3" s="233" t="s">
        <v>120</v>
      </c>
      <c r="P3" s="233" t="s">
        <v>121</v>
      </c>
      <c r="Q3" s="233" t="s">
        <v>122</v>
      </c>
      <c r="R3" s="233" t="s">
        <v>123</v>
      </c>
      <c r="S3" s="233" t="s">
        <v>124</v>
      </c>
      <c r="T3" s="233" t="s">
        <v>125</v>
      </c>
      <c r="AC3" t="s">
        <v>126</v>
      </c>
      <c r="AD3" t="s">
        <v>127</v>
      </c>
      <c r="AF3" t="s">
        <v>128</v>
      </c>
      <c r="AG3" s="366" t="s">
        <v>113</v>
      </c>
      <c r="AH3" s="366" t="s">
        <v>129</v>
      </c>
    </row>
    <row r="4" spans="2:34" ht="12.95" customHeight="1">
      <c r="B4" s="355" t="s">
        <v>130</v>
      </c>
      <c r="C4" t="s">
        <v>131</v>
      </c>
      <c r="D4" s="374" t="s">
        <v>132</v>
      </c>
      <c r="F4" s="440" t="s">
        <v>133</v>
      </c>
      <c r="H4" s="365">
        <v>39814</v>
      </c>
      <c r="I4" s="373">
        <f>+AVERAGEIF(TRM_dia[MES],Tabla3[[#This Row],[Fecha]],TRM_dia[TRM])</f>
        <v>2253.5061290322578</v>
      </c>
      <c r="J4">
        <v>189.3</v>
      </c>
      <c r="K4">
        <v>70.209999999999994</v>
      </c>
      <c r="L4">
        <v>230.3</v>
      </c>
      <c r="M4">
        <v>110.1</v>
      </c>
      <c r="N4">
        <v>144.4</v>
      </c>
      <c r="O4">
        <v>213.7</v>
      </c>
      <c r="P4">
        <v>215.2</v>
      </c>
      <c r="Q4">
        <v>118.7</v>
      </c>
      <c r="R4">
        <v>184.4</v>
      </c>
      <c r="S4" s="373">
        <f>+INDEX(Tabla2[Salarios],MATCH(YEAR(Tabla3[[#This Row],[Fecha]]),Tabla2[año],0))/Tabla3[[#This Row],[TRM año de cálculo $/USD]]</f>
        <v>220.50084248645373</v>
      </c>
      <c r="T4">
        <f>+Tabla3[[#This Row],[IPC]]/Tabla3[[#This Row],[TRM año de cálculo $/USD]]</f>
        <v>3.1155894850017945E-2</v>
      </c>
      <c r="AC4">
        <v>2009</v>
      </c>
      <c r="AD4" s="362">
        <v>496900</v>
      </c>
      <c r="AF4" s="367">
        <f t="shared" ref="AF4:AF67" si="0">+DATE(YEAR(AG4),MONTH(AG4),1)</f>
        <v>39814</v>
      </c>
      <c r="AG4" s="368">
        <v>39814</v>
      </c>
      <c r="AH4" s="369">
        <v>2243.59</v>
      </c>
    </row>
    <row r="5" spans="2:34">
      <c r="B5" s="351" t="s">
        <v>116</v>
      </c>
      <c r="D5" s="374"/>
      <c r="F5" s="354" t="s">
        <v>134</v>
      </c>
      <c r="H5" s="365">
        <v>39845</v>
      </c>
      <c r="I5" s="373">
        <f>+AVERAGEIF(TRM_dia[MES],Tabla3[[#This Row],[Fecha]],TRM_dia[TRM])</f>
        <v>2512.3442857142859</v>
      </c>
      <c r="J5">
        <v>183.5</v>
      </c>
      <c r="K5">
        <v>70.8</v>
      </c>
      <c r="L5">
        <v>229.6</v>
      </c>
      <c r="M5">
        <v>109.6</v>
      </c>
      <c r="N5">
        <v>144.6</v>
      </c>
      <c r="O5">
        <v>214.4</v>
      </c>
      <c r="P5">
        <v>218.5</v>
      </c>
      <c r="Q5">
        <v>119</v>
      </c>
      <c r="R5">
        <v>184.5</v>
      </c>
      <c r="S5" s="373">
        <f>+INDEX(Tabla2[Salarios],MATCH(YEAR(Tabla3[[#This Row],[Fecha]]),Tabla2[año],0))/Tabla3[[#This Row],[TRM año de cálculo $/USD]]</f>
        <v>197.78340207012118</v>
      </c>
      <c r="T5">
        <f>+Tabla3[[#This Row],[IPC]]/Tabla3[[#This Row],[TRM año de cálculo $/USD]]</f>
        <v>2.8180851009387359E-2</v>
      </c>
      <c r="AC5">
        <v>2010</v>
      </c>
      <c r="AD5" s="362">
        <v>515000</v>
      </c>
      <c r="AF5" s="367">
        <f t="shared" si="0"/>
        <v>39814</v>
      </c>
      <c r="AG5" s="368">
        <v>39815</v>
      </c>
      <c r="AH5" s="369">
        <v>2243.59</v>
      </c>
    </row>
    <row r="6" spans="2:34">
      <c r="B6" s="355" t="s">
        <v>117</v>
      </c>
      <c r="C6" t="s">
        <v>135</v>
      </c>
      <c r="D6" s="374" t="s">
        <v>136</v>
      </c>
      <c r="F6" s="440" t="s">
        <v>133</v>
      </c>
      <c r="H6" s="365">
        <v>39873</v>
      </c>
      <c r="I6" s="373">
        <f>+AVERAGEIF(TRM_dia[MES],Tabla3[[#This Row],[Fecha]],TRM_dia[TRM])</f>
        <v>2469.6348387096782</v>
      </c>
      <c r="J6">
        <v>173.3</v>
      </c>
      <c r="K6">
        <v>71.150000000000006</v>
      </c>
      <c r="L6">
        <v>230.3</v>
      </c>
      <c r="M6">
        <v>109.7</v>
      </c>
      <c r="N6">
        <v>144.6</v>
      </c>
      <c r="O6">
        <v>214.1</v>
      </c>
      <c r="P6">
        <v>220.2</v>
      </c>
      <c r="Q6">
        <v>119.1</v>
      </c>
      <c r="R6">
        <v>184.4</v>
      </c>
      <c r="S6" s="373">
        <f>+INDEX(Tabla2[Salarios],MATCH(YEAR(Tabla3[[#This Row],[Fecha]]),Tabla2[año],0))/Tabla3[[#This Row],[TRM año de cálculo $/USD]]</f>
        <v>201.2038347578615</v>
      </c>
      <c r="T6">
        <f>+Tabla3[[#This Row],[IPC]]/Tabla3[[#This Row],[TRM año de cálculo $/USD]]</f>
        <v>2.8809927234900071E-2</v>
      </c>
      <c r="AC6">
        <v>2011</v>
      </c>
      <c r="AD6" s="362">
        <v>535600</v>
      </c>
      <c r="AF6" s="367">
        <f t="shared" si="0"/>
        <v>39814</v>
      </c>
      <c r="AG6" s="368">
        <v>39816</v>
      </c>
      <c r="AH6" s="369">
        <v>2234.81</v>
      </c>
    </row>
    <row r="7" spans="2:34">
      <c r="B7" s="351" t="s">
        <v>118</v>
      </c>
      <c r="C7" t="s">
        <v>137</v>
      </c>
      <c r="D7" s="374" t="s">
        <v>138</v>
      </c>
      <c r="F7" s="440" t="s">
        <v>133</v>
      </c>
      <c r="H7" s="365">
        <v>39904</v>
      </c>
      <c r="I7" s="373">
        <f>+AVERAGEIF(TRM_dia[MES],Tabla3[[#This Row],[Fecha]],TRM_dia[TRM])</f>
        <v>2374.6076666666659</v>
      </c>
      <c r="J7">
        <v>162.19999999999999</v>
      </c>
      <c r="K7">
        <v>71.38</v>
      </c>
      <c r="L7">
        <v>230.3</v>
      </c>
      <c r="M7">
        <v>109.8</v>
      </c>
      <c r="N7">
        <v>145</v>
      </c>
      <c r="O7">
        <v>210.9</v>
      </c>
      <c r="P7">
        <v>219.6</v>
      </c>
      <c r="Q7">
        <v>119.3</v>
      </c>
      <c r="R7">
        <v>184.4</v>
      </c>
      <c r="S7" s="373">
        <f>+INDEX(Tabla2[Salarios],MATCH(YEAR(Tabla3[[#This Row],[Fecha]]),Tabla2[año],0))/Tabla3[[#This Row],[TRM año de cálculo $/USD]]</f>
        <v>209.25562019157417</v>
      </c>
      <c r="T7">
        <f>+Tabla3[[#This Row],[IPC]]/Tabla3[[#This Row],[TRM año de cálculo $/USD]]</f>
        <v>3.0059702494012002E-2</v>
      </c>
      <c r="AC7">
        <v>2012</v>
      </c>
      <c r="AD7" s="362">
        <v>566700</v>
      </c>
      <c r="AF7" s="367">
        <f t="shared" si="0"/>
        <v>39814</v>
      </c>
      <c r="AG7" s="368">
        <v>39817</v>
      </c>
      <c r="AH7" s="369">
        <v>2234.81</v>
      </c>
    </row>
    <row r="8" spans="2:34">
      <c r="B8" s="355" t="s">
        <v>119</v>
      </c>
      <c r="C8" t="s">
        <v>139</v>
      </c>
      <c r="D8" s="374" t="s">
        <v>140</v>
      </c>
      <c r="F8" s="440" t="s">
        <v>133</v>
      </c>
      <c r="H8" s="365">
        <v>39934</v>
      </c>
      <c r="I8" s="373">
        <f>+AVERAGEIF(TRM_dia[MES],Tabla3[[#This Row],[Fecha]],TRM_dia[TRM])</f>
        <v>2227.3177419354843</v>
      </c>
      <c r="J8">
        <v>160.1</v>
      </c>
      <c r="K8">
        <v>71.39</v>
      </c>
      <c r="L8">
        <v>230.4</v>
      </c>
      <c r="M8">
        <v>109.7</v>
      </c>
      <c r="N8">
        <v>145.1</v>
      </c>
      <c r="O8">
        <v>210.3</v>
      </c>
      <c r="P8">
        <v>219.7</v>
      </c>
      <c r="Q8">
        <v>119.2</v>
      </c>
      <c r="R8">
        <v>184.5</v>
      </c>
      <c r="S8" s="373">
        <f>+INDEX(Tabla2[Salarios],MATCH(YEAR(Tabla3[[#This Row],[Fecha]]),Tabla2[año],0))/Tabla3[[#This Row],[TRM año de cálculo $/USD]]</f>
        <v>223.0934503167052</v>
      </c>
      <c r="T8">
        <f>+Tabla3[[#This Row],[IPC]]/Tabla3[[#This Row],[TRM año de cálculo $/USD]]</f>
        <v>3.2052005268886262E-2</v>
      </c>
      <c r="AC8">
        <v>2013</v>
      </c>
      <c r="AD8" s="362">
        <v>589500</v>
      </c>
      <c r="AF8" s="367">
        <f t="shared" si="0"/>
        <v>39814</v>
      </c>
      <c r="AG8" s="368">
        <v>39818</v>
      </c>
      <c r="AH8" s="369">
        <v>2234.81</v>
      </c>
    </row>
    <row r="9" spans="2:34">
      <c r="B9" s="351" t="s">
        <v>141</v>
      </c>
      <c r="C9" t="s">
        <v>142</v>
      </c>
      <c r="D9" s="374" t="s">
        <v>143</v>
      </c>
      <c r="F9" s="440" t="s">
        <v>133</v>
      </c>
      <c r="H9" s="365">
        <v>39965</v>
      </c>
      <c r="I9" s="373">
        <f>+AVERAGEIF(TRM_dia[MES],Tabla3[[#This Row],[Fecha]],TRM_dia[TRM])</f>
        <v>2089.460333333333</v>
      </c>
      <c r="J9">
        <v>162.19999999999999</v>
      </c>
      <c r="K9">
        <v>71.349999999999994</v>
      </c>
      <c r="L9">
        <v>230.9</v>
      </c>
      <c r="M9">
        <v>109.6</v>
      </c>
      <c r="N9">
        <v>145.1</v>
      </c>
      <c r="O9">
        <v>209.3</v>
      </c>
      <c r="P9">
        <v>221.6</v>
      </c>
      <c r="Q9">
        <v>119.2</v>
      </c>
      <c r="R9">
        <v>184.6</v>
      </c>
      <c r="S9" s="373">
        <f>+INDEX(Tabla2[Salarios],MATCH(YEAR(Tabla3[[#This Row],[Fecha]]),Tabla2[año],0))/Tabla3[[#This Row],[TRM año de cálculo $/USD]]</f>
        <v>237.81260264811604</v>
      </c>
      <c r="T9">
        <f>+Tabla3[[#This Row],[IPC]]/Tabla3[[#This Row],[TRM año de cálculo $/USD]]</f>
        <v>3.4147573352672725E-2</v>
      </c>
      <c r="AC9">
        <v>2014</v>
      </c>
      <c r="AD9" s="362">
        <v>616000</v>
      </c>
      <c r="AF9" s="367">
        <f t="shared" si="0"/>
        <v>39814</v>
      </c>
      <c r="AG9" s="368">
        <v>39819</v>
      </c>
      <c r="AH9" s="369">
        <v>2227.2399999999998</v>
      </c>
    </row>
    <row r="10" spans="2:34">
      <c r="B10" s="355" t="s">
        <v>121</v>
      </c>
      <c r="C10" t="s">
        <v>144</v>
      </c>
      <c r="D10" s="374" t="s">
        <v>145</v>
      </c>
      <c r="F10" s="440" t="s">
        <v>133</v>
      </c>
      <c r="H10" s="365">
        <v>39995</v>
      </c>
      <c r="I10" s="373">
        <f>+AVERAGEIF(TRM_dia[MES],Tabla3[[#This Row],[Fecha]],TRM_dia[TRM])</f>
        <v>2049.2396774193544</v>
      </c>
      <c r="J10">
        <v>164.6</v>
      </c>
      <c r="K10">
        <v>71.319999999999993</v>
      </c>
      <c r="L10">
        <v>230.6</v>
      </c>
      <c r="M10">
        <v>109.6</v>
      </c>
      <c r="N10">
        <v>145.4</v>
      </c>
      <c r="O10">
        <v>208.8</v>
      </c>
      <c r="P10">
        <v>221.1</v>
      </c>
      <c r="Q10">
        <v>119.5</v>
      </c>
      <c r="R10">
        <v>184.8</v>
      </c>
      <c r="S10" s="373">
        <f>+INDEX(Tabla2[Salarios],MATCH(YEAR(Tabla3[[#This Row],[Fecha]]),Tabla2[año],0))/Tabla3[[#This Row],[TRM año de cálculo $/USD]]</f>
        <v>242.48017714831454</v>
      </c>
      <c r="T10">
        <f>+Tabla3[[#This Row],[IPC]]/Tabla3[[#This Row],[TRM año de cálculo $/USD]]</f>
        <v>3.4803152010903185E-2</v>
      </c>
      <c r="AC10">
        <v>2015</v>
      </c>
      <c r="AD10" s="362">
        <v>644350</v>
      </c>
      <c r="AF10" s="367">
        <f t="shared" si="0"/>
        <v>39814</v>
      </c>
      <c r="AG10" s="368">
        <v>39820</v>
      </c>
      <c r="AH10" s="369">
        <v>2197.7199999999998</v>
      </c>
    </row>
    <row r="11" spans="2:34">
      <c r="B11" s="351" t="s">
        <v>122</v>
      </c>
      <c r="C11" t="s">
        <v>146</v>
      </c>
      <c r="D11" s="374" t="s">
        <v>147</v>
      </c>
      <c r="F11" s="440" t="s">
        <v>133</v>
      </c>
      <c r="H11" s="365">
        <v>40026</v>
      </c>
      <c r="I11" s="373">
        <f>+AVERAGEIF(TRM_dia[MES],Tabla3[[#This Row],[Fecha]],TRM_dia[TRM])</f>
        <v>2017.6180645161287</v>
      </c>
      <c r="J11">
        <v>170.6</v>
      </c>
      <c r="K11">
        <v>71.349999999999994</v>
      </c>
      <c r="L11">
        <v>230.4</v>
      </c>
      <c r="M11">
        <v>109.6</v>
      </c>
      <c r="N11">
        <v>145.4</v>
      </c>
      <c r="O11">
        <v>208.9</v>
      </c>
      <c r="P11">
        <v>224.4</v>
      </c>
      <c r="Q11">
        <v>119.6</v>
      </c>
      <c r="R11">
        <v>184.8</v>
      </c>
      <c r="S11" s="373">
        <f>+INDEX(Tabla2[Salarios],MATCH(YEAR(Tabla3[[#This Row],[Fecha]]),Tabla2[año],0))/Tabla3[[#This Row],[TRM año de cálculo $/USD]]</f>
        <v>246.28050706869939</v>
      </c>
      <c r="T11">
        <f>+Tabla3[[#This Row],[IPC]]/Tabla3[[#This Row],[TRM año de cálculo $/USD]]</f>
        <v>3.5363481946773391E-2</v>
      </c>
      <c r="AC11">
        <v>2016</v>
      </c>
      <c r="AD11" s="362">
        <v>689455</v>
      </c>
      <c r="AF11" s="367">
        <f t="shared" si="0"/>
        <v>39814</v>
      </c>
      <c r="AG11" s="368">
        <v>39821</v>
      </c>
      <c r="AH11" s="369">
        <v>2214.13</v>
      </c>
    </row>
    <row r="12" spans="2:34">
      <c r="B12" s="355" t="s">
        <v>123</v>
      </c>
      <c r="C12" s="374" t="s">
        <v>148</v>
      </c>
      <c r="D12" s="374" t="s">
        <v>149</v>
      </c>
      <c r="F12" s="440" t="s">
        <v>133</v>
      </c>
      <c r="H12" s="365">
        <v>40057</v>
      </c>
      <c r="I12" s="373">
        <f>+AVERAGEIF(TRM_dia[MES],Tabla3[[#This Row],[Fecha]],TRM_dia[TRM])</f>
        <v>1978.0329999999994</v>
      </c>
      <c r="J12">
        <v>172.4</v>
      </c>
      <c r="K12">
        <v>71.28</v>
      </c>
      <c r="L12">
        <v>230.4</v>
      </c>
      <c r="M12">
        <v>109.6</v>
      </c>
      <c r="N12">
        <v>145.9</v>
      </c>
      <c r="O12">
        <v>208.4</v>
      </c>
      <c r="P12">
        <v>227</v>
      </c>
      <c r="Q12">
        <v>119.7</v>
      </c>
      <c r="R12">
        <v>184.9</v>
      </c>
      <c r="S12" s="373">
        <f>+INDEX(Tabla2[Salarios],MATCH(YEAR(Tabla3[[#This Row],[Fecha]]),Tabla2[año],0))/Tabla3[[#This Row],[TRM año de cálculo $/USD]]</f>
        <v>251.20915576231545</v>
      </c>
      <c r="T12">
        <f>+Tabla3[[#This Row],[IPC]]/Tabla3[[#This Row],[TRM año de cálculo $/USD]]</f>
        <v>3.6035799200518907E-2</v>
      </c>
      <c r="AC12">
        <v>2017</v>
      </c>
      <c r="AD12" s="362">
        <v>737717</v>
      </c>
      <c r="AF12" s="367">
        <f t="shared" si="0"/>
        <v>39814</v>
      </c>
      <c r="AG12" s="368">
        <v>39822</v>
      </c>
      <c r="AH12" s="369">
        <v>2220.8200000000002</v>
      </c>
    </row>
    <row r="13" spans="2:34">
      <c r="B13" s="351" t="s">
        <v>150</v>
      </c>
      <c r="C13" t="s">
        <v>151</v>
      </c>
      <c r="F13" s="468" t="s">
        <v>152</v>
      </c>
      <c r="H13" s="365">
        <v>40087</v>
      </c>
      <c r="I13" s="373">
        <f>+AVERAGEIF(TRM_dia[MES],Tabla3[[#This Row],[Fecha]],TRM_dia[TRM])</f>
        <v>1901.4003225806453</v>
      </c>
      <c r="J13">
        <v>174.1</v>
      </c>
      <c r="K13">
        <v>71.19</v>
      </c>
      <c r="L13">
        <v>230.1</v>
      </c>
      <c r="M13">
        <v>110</v>
      </c>
      <c r="N13">
        <v>145.69999999999999</v>
      </c>
      <c r="O13">
        <v>207.5</v>
      </c>
      <c r="P13">
        <v>228</v>
      </c>
      <c r="Q13">
        <v>119.5</v>
      </c>
      <c r="R13">
        <v>185</v>
      </c>
      <c r="S13" s="373">
        <f>+INDEX(Tabla2[Salarios],MATCH(YEAR(Tabla3[[#This Row],[Fecha]]),Tabla2[año],0))/Tabla3[[#This Row],[TRM año de cálculo $/USD]]</f>
        <v>261.33370973956204</v>
      </c>
      <c r="T13">
        <f>+Tabla3[[#This Row],[IPC]]/Tabla3[[#This Row],[TRM año de cálculo $/USD]]</f>
        <v>3.7440826718372754E-2</v>
      </c>
      <c r="AC13">
        <v>2018</v>
      </c>
      <c r="AD13" s="362">
        <v>781242</v>
      </c>
      <c r="AF13" s="367">
        <f t="shared" si="0"/>
        <v>39814</v>
      </c>
      <c r="AG13" s="368">
        <v>39823</v>
      </c>
      <c r="AH13" s="369">
        <v>2216.23</v>
      </c>
    </row>
    <row r="14" spans="2:34" ht="15">
      <c r="B14" s="501" t="s">
        <v>153</v>
      </c>
      <c r="F14" s="356"/>
      <c r="H14" s="365">
        <v>40118</v>
      </c>
      <c r="I14" s="373">
        <f>+AVERAGEIF(TRM_dia[MES],Tabla3[[#This Row],[Fecha]],TRM_dia[TRM])</f>
        <v>1976.8793333333335</v>
      </c>
      <c r="J14">
        <v>168.5</v>
      </c>
      <c r="K14">
        <v>71.14</v>
      </c>
      <c r="L14">
        <v>230.1</v>
      </c>
      <c r="M14">
        <v>110.7</v>
      </c>
      <c r="N14">
        <v>145.69999999999999</v>
      </c>
      <c r="O14">
        <v>207.5</v>
      </c>
      <c r="P14">
        <v>231.2</v>
      </c>
      <c r="Q14">
        <v>119.8</v>
      </c>
      <c r="R14">
        <v>185.2</v>
      </c>
      <c r="S14" s="373">
        <f>+INDEX(Tabla2[Salarios],MATCH(YEAR(Tabla3[[#This Row],[Fecha]]),Tabla2[año],0))/Tabla3[[#This Row],[TRM año de cálculo $/USD]]</f>
        <v>251.35575632840849</v>
      </c>
      <c r="T14">
        <f>+Tabla3[[#This Row],[IPC]]/Tabla3[[#This Row],[TRM año de cálculo $/USD]]</f>
        <v>3.5986010274105411E-2</v>
      </c>
      <c r="AC14">
        <v>2019</v>
      </c>
      <c r="AD14" s="362">
        <v>828116</v>
      </c>
      <c r="AF14" s="367">
        <f t="shared" si="0"/>
        <v>39814</v>
      </c>
      <c r="AG14" s="368">
        <v>39824</v>
      </c>
      <c r="AH14" s="369">
        <v>2216.23</v>
      </c>
    </row>
    <row r="15" spans="2:34">
      <c r="H15" s="365">
        <v>40148</v>
      </c>
      <c r="I15" s="373">
        <f>+AVERAGEIF(TRM_dia[MES],Tabla3[[#This Row],[Fecha]],TRM_dia[TRM])</f>
        <v>2018.0125806451613</v>
      </c>
      <c r="J15">
        <v>167.9</v>
      </c>
      <c r="K15">
        <v>71.2</v>
      </c>
      <c r="L15">
        <v>231.5</v>
      </c>
      <c r="M15">
        <v>110.7</v>
      </c>
      <c r="N15">
        <v>145.69999999999999</v>
      </c>
      <c r="O15">
        <v>207.7</v>
      </c>
      <c r="P15">
        <v>232.8</v>
      </c>
      <c r="Q15">
        <v>120.3</v>
      </c>
      <c r="R15">
        <v>185.3</v>
      </c>
      <c r="S15" s="373">
        <f>+INDEX(Tabla2[Salarios],MATCH(YEAR(Tabla3[[#This Row],[Fecha]]),Tabla2[año],0))/Tabla3[[#This Row],[TRM año de cálculo $/USD]]</f>
        <v>246.23235988010561</v>
      </c>
      <c r="T15">
        <f>+Tabla3[[#This Row],[IPC]]/Tabla3[[#This Row],[TRM año de cálculo $/USD]]</f>
        <v>3.5282237922043713E-2</v>
      </c>
      <c r="AC15">
        <v>2020</v>
      </c>
      <c r="AD15" s="362">
        <v>877803</v>
      </c>
      <c r="AF15" s="367">
        <f t="shared" si="0"/>
        <v>39814</v>
      </c>
      <c r="AG15" s="368">
        <v>39825</v>
      </c>
      <c r="AH15" s="369">
        <v>2216.23</v>
      </c>
    </row>
    <row r="16" spans="2:34">
      <c r="C16" s="408">
        <f>MATCH(C18,Tabla3[Fecha],0)</f>
        <v>192</v>
      </c>
      <c r="D16" s="408">
        <f>+MATCH(D18,Tabla3[Fecha],0)</f>
        <v>192</v>
      </c>
      <c r="H16" s="365">
        <v>40179</v>
      </c>
      <c r="I16" s="373">
        <f>+AVERAGEIF(TRM_dia[MES],Tabla3[[#This Row],[Fecha]],TRM_dia[TRM])</f>
        <v>1983.4267741935489</v>
      </c>
      <c r="J16">
        <v>177.8</v>
      </c>
      <c r="K16">
        <v>71.69</v>
      </c>
      <c r="L16">
        <v>232</v>
      </c>
      <c r="M16">
        <v>111.2</v>
      </c>
      <c r="N16">
        <v>146.80000000000001</v>
      </c>
      <c r="O16">
        <v>207.4</v>
      </c>
      <c r="P16">
        <v>235.2</v>
      </c>
      <c r="Q16">
        <v>120.6</v>
      </c>
      <c r="R16">
        <v>185.7</v>
      </c>
      <c r="S16" s="373">
        <f>+INDEX(Tabla2[Salarios],MATCH(YEAR(Tabla3[[#This Row],[Fecha]]),Tabla2[año],0))/Tabla3[[#This Row],[TRM año de cálculo $/USD]]</f>
        <v>259.6516325687881</v>
      </c>
      <c r="T16">
        <f>+Tabla3[[#This Row],[IPC]]/Tabla3[[#This Row],[TRM año de cálculo $/USD]]</f>
        <v>3.6144515609429939E-2</v>
      </c>
      <c r="AC16">
        <v>2021</v>
      </c>
      <c r="AD16" s="362">
        <v>908526</v>
      </c>
      <c r="AF16" s="367">
        <f t="shared" si="0"/>
        <v>39814</v>
      </c>
      <c r="AG16" s="368">
        <v>39826</v>
      </c>
      <c r="AH16" s="369">
        <v>2216.23</v>
      </c>
    </row>
    <row r="17" spans="2:34">
      <c r="C17" s="46" t="s">
        <v>154</v>
      </c>
      <c r="D17" s="46" t="s">
        <v>155</v>
      </c>
      <c r="H17" s="365">
        <v>40210</v>
      </c>
      <c r="I17" s="373">
        <f>+AVERAGEIF(TRM_dia[MES],Tabla3[[#This Row],[Fecha]],TRM_dia[TRM])</f>
        <v>1951.7239285714293</v>
      </c>
      <c r="J17">
        <v>184.1</v>
      </c>
      <c r="K17">
        <v>72.28</v>
      </c>
      <c r="L17">
        <v>232.2</v>
      </c>
      <c r="M17">
        <v>111.7</v>
      </c>
      <c r="N17">
        <v>146.9</v>
      </c>
      <c r="O17">
        <v>206.4</v>
      </c>
      <c r="P17">
        <v>235.6</v>
      </c>
      <c r="Q17">
        <v>120.6</v>
      </c>
      <c r="R17">
        <v>188.9</v>
      </c>
      <c r="S17" s="373">
        <f>+INDEX(Tabla2[Salarios],MATCH(YEAR(Tabla3[[#This Row],[Fecha]]),Tabla2[año],0))/Tabla3[[#This Row],[TRM año de cálculo $/USD]]</f>
        <v>263.86928625553918</v>
      </c>
      <c r="T17">
        <f>+Tabla3[[#This Row],[IPC]]/Tabla3[[#This Row],[TRM año de cálculo $/USD]]</f>
        <v>3.7033926234078397E-2</v>
      </c>
      <c r="AC17">
        <v>2022</v>
      </c>
      <c r="AD17" s="362">
        <v>1000000</v>
      </c>
      <c r="AF17" s="367">
        <f t="shared" si="0"/>
        <v>39814</v>
      </c>
      <c r="AG17" s="368">
        <v>39827</v>
      </c>
      <c r="AH17" s="369">
        <v>2226.87</v>
      </c>
    </row>
    <row r="18" spans="2:34">
      <c r="C18" s="409">
        <f>Inicio!Q10</f>
        <v>45627</v>
      </c>
      <c r="D18" s="409">
        <v>45627</v>
      </c>
      <c r="H18" s="365">
        <v>40238</v>
      </c>
      <c r="I18" s="373">
        <f>+AVERAGEIF(TRM_dia[MES],Tabla3[[#This Row],[Fecha]],TRM_dia[TRM])</f>
        <v>1908.991935483871</v>
      </c>
      <c r="J18">
        <v>186.5</v>
      </c>
      <c r="K18">
        <v>72.459999999999994</v>
      </c>
      <c r="L18">
        <v>232.4</v>
      </c>
      <c r="M18">
        <v>111.8</v>
      </c>
      <c r="N18">
        <v>146.80000000000001</v>
      </c>
      <c r="O18">
        <v>206.9</v>
      </c>
      <c r="P18">
        <v>235.4</v>
      </c>
      <c r="Q18">
        <v>120.8</v>
      </c>
      <c r="R18">
        <v>189.8</v>
      </c>
      <c r="S18" s="373">
        <f>+INDEX(Tabla2[Salarios],MATCH(YEAR(Tabla3[[#This Row],[Fecha]]),Tabla2[año],0))/Tabla3[[#This Row],[TRM año de cálculo $/USD]]</f>
        <v>269.7758908391948</v>
      </c>
      <c r="T18">
        <f>+Tabla3[[#This Row],[IPC]]/Tabla3[[#This Row],[TRM año de cálculo $/USD]]</f>
        <v>3.7957205922734084E-2</v>
      </c>
      <c r="AC18">
        <v>2023</v>
      </c>
      <c r="AD18" s="362">
        <v>1160000</v>
      </c>
      <c r="AF18" s="367">
        <f t="shared" si="0"/>
        <v>39814</v>
      </c>
      <c r="AG18" s="368">
        <v>39828</v>
      </c>
      <c r="AH18" s="369">
        <v>2234.4</v>
      </c>
    </row>
    <row r="19" spans="2:34" ht="15">
      <c r="B19" s="45" t="s">
        <v>111</v>
      </c>
      <c r="C19" s="829" cm="1">
        <f t="array" ref="C19">+INDEX(Tabla3[TRM año de cálculo $/USD],$C$16)</f>
        <v>4385.1487096774199</v>
      </c>
      <c r="D19" s="352" cm="1">
        <f t="array" ref="D19">+INDEX(Tabla3[TRM año de cálculo $/USD],$D$16)</f>
        <v>4385.1487096774199</v>
      </c>
      <c r="H19" s="365">
        <v>40269</v>
      </c>
      <c r="I19" s="373">
        <f>+AVERAGEIF(TRM_dia[MES],Tabla3[[#This Row],[Fecha]],TRM_dia[TRM])</f>
        <v>1937.4490000000003</v>
      </c>
      <c r="J19">
        <v>196.8</v>
      </c>
      <c r="K19">
        <v>72.790000000000006</v>
      </c>
      <c r="L19">
        <v>231.5</v>
      </c>
      <c r="M19">
        <v>111.8</v>
      </c>
      <c r="N19">
        <v>147.1</v>
      </c>
      <c r="O19">
        <v>207.3</v>
      </c>
      <c r="P19">
        <v>235.6</v>
      </c>
      <c r="Q19">
        <v>120.4</v>
      </c>
      <c r="R19">
        <v>189.9</v>
      </c>
      <c r="S19" s="373">
        <f>+INDEX(Tabla2[Salarios],MATCH(YEAR(Tabla3[[#This Row],[Fecha]]),Tabla2[año],0))/Tabla3[[#This Row],[TRM año de cálculo $/USD]]</f>
        <v>265.81344850883812</v>
      </c>
      <c r="T19">
        <f>+Tabla3[[#This Row],[IPC]]/Tabla3[[#This Row],[TRM año de cálculo $/USD]]</f>
        <v>3.7570021197977338E-2</v>
      </c>
      <c r="AC19" s="652">
        <v>2024</v>
      </c>
      <c r="AD19" s="654">
        <v>1300000</v>
      </c>
      <c r="AF19" s="367">
        <f t="shared" si="0"/>
        <v>39814</v>
      </c>
      <c r="AG19" s="368">
        <v>39829</v>
      </c>
      <c r="AH19" s="369">
        <v>2249.64</v>
      </c>
    </row>
    <row r="20" spans="2:34" ht="15">
      <c r="B20" s="45" t="s">
        <v>156</v>
      </c>
      <c r="C20" s="829" cm="1">
        <f t="array" ref="C20">+INDEX(Tabla3[PPI USA ACERO],$C$16)</f>
        <v>255.18600000000001</v>
      </c>
      <c r="D20" s="352" cm="1">
        <f t="array" ref="D20">+INDEX(Tabla3[PPI USA ACERO],$D$16)</f>
        <v>255.18600000000001</v>
      </c>
      <c r="H20" s="365">
        <v>40299</v>
      </c>
      <c r="I20" s="373">
        <f>+AVERAGEIF(TRM_dia[MES],Tabla3[[#This Row],[Fecha]],TRM_dia[TRM])</f>
        <v>1983.5932258064518</v>
      </c>
      <c r="J20">
        <v>201.1</v>
      </c>
      <c r="K20">
        <v>72.87</v>
      </c>
      <c r="L20">
        <v>231.8</v>
      </c>
      <c r="M20">
        <v>111.9</v>
      </c>
      <c r="N20">
        <v>147.1</v>
      </c>
      <c r="O20">
        <v>207.5</v>
      </c>
      <c r="P20">
        <v>238.4</v>
      </c>
      <c r="Q20">
        <v>120.3</v>
      </c>
      <c r="R20">
        <v>190.2</v>
      </c>
      <c r="S20" s="373">
        <f>+INDEX(Tabla2[Salarios],MATCH(YEAR(Tabla3[[#This Row],[Fecha]]),Tabla2[año],0))/Tabla3[[#This Row],[TRM año de cálculo $/USD]]</f>
        <v>259.62984411313516</v>
      </c>
      <c r="T20">
        <f>+Tabla3[[#This Row],[IPC]]/Tabla3[[#This Row],[TRM año de cálculo $/USD]]</f>
        <v>3.6736362602959538E-2</v>
      </c>
      <c r="AF20" s="367">
        <f t="shared" si="0"/>
        <v>39814</v>
      </c>
      <c r="AG20" s="368">
        <v>39830</v>
      </c>
      <c r="AH20" s="369">
        <v>2227.6799999999998</v>
      </c>
    </row>
    <row r="21" spans="2:34" ht="15">
      <c r="B21" s="45" t="s">
        <v>116</v>
      </c>
      <c r="C21" s="829" cm="1">
        <f t="array" ref="C21">+INDEX(Tabla3[IPC],$C$16)</f>
        <v>144.88</v>
      </c>
      <c r="D21" s="352" cm="1">
        <f t="array" ref="D21">+INDEX(Tabla3[IPC],$D$16)</f>
        <v>144.88</v>
      </c>
      <c r="H21" s="365">
        <v>40330</v>
      </c>
      <c r="I21" s="373">
        <f>+AVERAGEIF(TRM_dia[MES],Tabla3[[#This Row],[Fecha]],TRM_dia[TRM])</f>
        <v>1926.8460000000002</v>
      </c>
      <c r="J21">
        <v>200.6</v>
      </c>
      <c r="K21">
        <v>72.95</v>
      </c>
      <c r="L21">
        <v>231.6</v>
      </c>
      <c r="M21">
        <v>111.9</v>
      </c>
      <c r="N21">
        <v>147</v>
      </c>
      <c r="O21">
        <v>221.5</v>
      </c>
      <c r="P21">
        <v>237</v>
      </c>
      <c r="Q21">
        <v>120.3</v>
      </c>
      <c r="R21">
        <v>190.2</v>
      </c>
      <c r="S21" s="373">
        <f>+INDEX(Tabla2[Salarios],MATCH(YEAR(Tabla3[[#This Row],[Fecha]]),Tabla2[año],0))/Tabla3[[#This Row],[TRM año de cálculo $/USD]]</f>
        <v>267.27616010828052</v>
      </c>
      <c r="T21">
        <f>+Tabla3[[#This Row],[IPC]]/Tabla3[[#This Row],[TRM año de cálculo $/USD]]</f>
        <v>3.7859797825046733E-2</v>
      </c>
      <c r="AF21" s="367">
        <f t="shared" si="0"/>
        <v>39814</v>
      </c>
      <c r="AG21" s="368">
        <v>39831</v>
      </c>
      <c r="AH21" s="369">
        <v>2227.6799999999998</v>
      </c>
    </row>
    <row r="22" spans="2:34" ht="15">
      <c r="B22" s="351" t="s">
        <v>117</v>
      </c>
      <c r="C22" s="829" cm="1">
        <f t="array" ref="C22">+INDEX(Tabla3[PPI USA - BOMBAS INDUSTRIALES],$C$16)</f>
        <v>399.88900000000001</v>
      </c>
      <c r="D22" s="352" cm="1">
        <f t="array" ref="D22">+INDEX(Tabla3[PPI USA - BOMBAS INDUSTRIALES],$D$16)</f>
        <v>399.88900000000001</v>
      </c>
      <c r="H22" s="365">
        <v>40360</v>
      </c>
      <c r="I22" s="373">
        <f>+AVERAGEIF(TRM_dia[MES],Tabla3[[#This Row],[Fecha]],TRM_dia[TRM])</f>
        <v>1874.4112903225807</v>
      </c>
      <c r="J22">
        <v>194</v>
      </c>
      <c r="K22">
        <v>72.92</v>
      </c>
      <c r="L22">
        <v>232</v>
      </c>
      <c r="M22">
        <v>111.9</v>
      </c>
      <c r="N22">
        <v>147</v>
      </c>
      <c r="O22">
        <v>221.8</v>
      </c>
      <c r="P22">
        <v>236.5</v>
      </c>
      <c r="Q22">
        <v>120.2</v>
      </c>
      <c r="R22">
        <v>190.8</v>
      </c>
      <c r="S22" s="373">
        <f>+INDEX(Tabla2[Salarios],MATCH(YEAR(Tabla3[[#This Row],[Fecha]]),Tabla2[año],0))/Tabla3[[#This Row],[TRM año de cálculo $/USD]]</f>
        <v>274.75293317901964</v>
      </c>
      <c r="T22">
        <f>+Tabla3[[#This Row],[IPC]]/Tabla3[[#This Row],[TRM año de cálculo $/USD]]</f>
        <v>3.8902881334784686E-2</v>
      </c>
      <c r="AF22" s="367">
        <f t="shared" si="0"/>
        <v>39814</v>
      </c>
      <c r="AG22" s="368">
        <v>39832</v>
      </c>
      <c r="AH22" s="369">
        <v>2227.6799999999998</v>
      </c>
    </row>
    <row r="23" spans="2:34" ht="15">
      <c r="B23" s="351" t="s">
        <v>118</v>
      </c>
      <c r="C23" s="829" cm="1">
        <f t="array" ref="C23">+INDEX(Tabla3[PPI USA – FILTROS],$C$16)</f>
        <v>177.40899999999999</v>
      </c>
      <c r="D23" s="352" cm="1">
        <f t="array" ref="D23">+INDEX(Tabla3[PPI USA – FILTROS],$D$16)</f>
        <v>177.40899999999999</v>
      </c>
      <c r="H23" s="365">
        <v>40391</v>
      </c>
      <c r="I23" s="373">
        <f>+AVERAGEIF(TRM_dia[MES],Tabla3[[#This Row],[Fecha]],TRM_dia[TRM])</f>
        <v>1821.2006451612901</v>
      </c>
      <c r="J23">
        <v>191.1</v>
      </c>
      <c r="K23">
        <v>73</v>
      </c>
      <c r="L23">
        <v>232.4</v>
      </c>
      <c r="M23">
        <v>111.9</v>
      </c>
      <c r="N23">
        <v>147</v>
      </c>
      <c r="O23">
        <v>222.5</v>
      </c>
      <c r="P23">
        <v>236.6</v>
      </c>
      <c r="Q23">
        <v>120.6</v>
      </c>
      <c r="R23">
        <v>190.8</v>
      </c>
      <c r="S23" s="373">
        <f>+INDEX(Tabla2[Salarios],MATCH(YEAR(Tabla3[[#This Row],[Fecha]]),Tabla2[año],0))/Tabla3[[#This Row],[TRM año de cálculo $/USD]]</f>
        <v>282.78048405500664</v>
      </c>
      <c r="T23">
        <f>+Tabla3[[#This Row],[IPC]]/Tabla3[[#This Row],[TRM año de cálculo $/USD]]</f>
        <v>4.0083447254398996E-2</v>
      </c>
      <c r="AF23" s="367">
        <f t="shared" si="0"/>
        <v>39814</v>
      </c>
      <c r="AG23" s="368">
        <v>39833</v>
      </c>
      <c r="AH23" s="369">
        <v>2227.6799999999998</v>
      </c>
    </row>
    <row r="24" spans="2:34" ht="15">
      <c r="B24" s="351" t="s">
        <v>119</v>
      </c>
      <c r="C24" s="829" cm="1">
        <f t="array" ref="C24">+INDEX(Tabla3[PPI USA – MEDIDORES, GASES Y LIQUIDOS],$C$16)</f>
        <v>252.15799999999999</v>
      </c>
      <c r="D24" s="352" cm="1">
        <f t="array" ref="D24">+INDEX(Tabla3[PPI USA – MEDIDORES, GASES Y LIQUIDOS],$D$16)</f>
        <v>252.15799999999999</v>
      </c>
      <c r="H24" s="365">
        <v>40422</v>
      </c>
      <c r="I24" s="373">
        <f>+AVERAGEIF(TRM_dia[MES],Tabla3[[#This Row],[Fecha]],TRM_dia[TRM])</f>
        <v>1805.7723333333331</v>
      </c>
      <c r="J24">
        <v>193.5</v>
      </c>
      <c r="K24">
        <v>72.900000000000006</v>
      </c>
      <c r="L24">
        <v>232.4</v>
      </c>
      <c r="M24">
        <v>111.9</v>
      </c>
      <c r="N24">
        <v>147</v>
      </c>
      <c r="O24">
        <v>222.9</v>
      </c>
      <c r="P24">
        <v>236.7</v>
      </c>
      <c r="Q24">
        <v>120.7</v>
      </c>
      <c r="R24">
        <v>190.8</v>
      </c>
      <c r="S24" s="373">
        <f>+INDEX(Tabla2[Salarios],MATCH(YEAR(Tabla3[[#This Row],[Fecha]]),Tabla2[año],0))/Tabla3[[#This Row],[TRM año de cálculo $/USD]]</f>
        <v>285.19652809684209</v>
      </c>
      <c r="T24">
        <f>+Tabla3[[#This Row],[IPC]]/Tabla3[[#This Row],[TRM año de cálculo $/USD]]</f>
        <v>4.0370537666523862E-2</v>
      </c>
      <c r="AF24" s="367">
        <f t="shared" si="0"/>
        <v>39814</v>
      </c>
      <c r="AG24" s="368">
        <v>39834</v>
      </c>
      <c r="AH24" s="369">
        <v>2245.2800000000002</v>
      </c>
    </row>
    <row r="25" spans="2:34" ht="15">
      <c r="B25" s="351" t="s">
        <v>120</v>
      </c>
      <c r="C25" s="829" cm="1">
        <f t="array" ref="C25">+INDEX(Tabla3[PPI USA – GENEADORES DE POTENCIA],$C$16)</f>
        <v>429.27699999999999</v>
      </c>
      <c r="D25" s="352" cm="1">
        <f t="array" ref="D25">+INDEX(Tabla3[PPI USA – GENEADORES DE POTENCIA],$D$16)</f>
        <v>429.27699999999999</v>
      </c>
      <c r="H25" s="365">
        <v>40452</v>
      </c>
      <c r="I25" s="373">
        <f>+AVERAGEIF(TRM_dia[MES],Tabla3[[#This Row],[Fecha]],TRM_dia[TRM])</f>
        <v>1808.6070967741937</v>
      </c>
      <c r="J25">
        <v>195.7</v>
      </c>
      <c r="K25">
        <v>72.84</v>
      </c>
      <c r="L25">
        <v>232.4</v>
      </c>
      <c r="M25">
        <v>113.7</v>
      </c>
      <c r="N25">
        <v>147</v>
      </c>
      <c r="O25">
        <v>223.3</v>
      </c>
      <c r="P25">
        <v>237.5</v>
      </c>
      <c r="Q25">
        <v>120.5</v>
      </c>
      <c r="R25">
        <v>190.9</v>
      </c>
      <c r="S25" s="373">
        <f>+INDEX(Tabla2[Salarios],MATCH(YEAR(Tabla3[[#This Row],[Fecha]]),Tabla2[año],0))/Tabla3[[#This Row],[TRM año de cálculo $/USD]]</f>
        <v>284.74951852093625</v>
      </c>
      <c r="T25">
        <f>+Tabla3[[#This Row],[IPC]]/Tabla3[[#This Row],[TRM año de cálculo $/USD]]</f>
        <v>4.0274087240902909E-2</v>
      </c>
      <c r="AF25" s="367">
        <f t="shared" si="0"/>
        <v>39814</v>
      </c>
      <c r="AG25" s="368">
        <v>39835</v>
      </c>
      <c r="AH25" s="369">
        <v>2245.9699999999998</v>
      </c>
    </row>
    <row r="26" spans="2:34" ht="15">
      <c r="B26" s="351" t="s">
        <v>121</v>
      </c>
      <c r="C26" s="829" cm="1">
        <f t="array" ref="C26">+INDEX(Tabla3[PPI USA – TRANSFORMADORES DISTRI. Y POTE.],$C$16)</f>
        <v>432.642</v>
      </c>
      <c r="D26" s="352" cm="1">
        <f t="array" ref="D26">+INDEX(Tabla3[PPI USA – TRANSFORMADORES DISTRI. Y POTE.],$D$16)</f>
        <v>432.642</v>
      </c>
      <c r="H26" s="365">
        <v>40483</v>
      </c>
      <c r="I26" s="373">
        <f>+AVERAGEIF(TRM_dia[MES],Tabla3[[#This Row],[Fecha]],TRM_dia[TRM])</f>
        <v>1862.9940000000001</v>
      </c>
      <c r="J26">
        <v>194.5</v>
      </c>
      <c r="K26">
        <v>72.98</v>
      </c>
      <c r="L26">
        <v>232.7</v>
      </c>
      <c r="M26">
        <v>113.7</v>
      </c>
      <c r="N26">
        <v>147</v>
      </c>
      <c r="O26">
        <v>223.3</v>
      </c>
      <c r="P26">
        <v>238.5</v>
      </c>
      <c r="Q26">
        <v>121</v>
      </c>
      <c r="R26">
        <v>192.6</v>
      </c>
      <c r="S26" s="373">
        <f>+INDEX(Tabla2[Salarios],MATCH(YEAR(Tabla3[[#This Row],[Fecha]]),Tabla2[año],0))/Tabla3[[#This Row],[TRM año de cálculo $/USD]]</f>
        <v>276.43674644148075</v>
      </c>
      <c r="T26">
        <f>+Tabla3[[#This Row],[IPC]]/Tabla3[[#This Row],[TRM año de cálculo $/USD]]</f>
        <v>3.9173502437474299E-2</v>
      </c>
      <c r="AF26" s="367">
        <f t="shared" si="0"/>
        <v>39814</v>
      </c>
      <c r="AG26" s="368">
        <v>39836</v>
      </c>
      <c r="AH26" s="369">
        <v>2247.87</v>
      </c>
    </row>
    <row r="27" spans="2:34" ht="15">
      <c r="B27" s="351" t="s">
        <v>122</v>
      </c>
      <c r="C27" s="829" cm="1">
        <f t="array" ref="C27">+INDEX(Tabla3[PPI USA – INSTR. DE CONTROL PROC. INDUSTR.],$C$16)</f>
        <v>185.55799999999999</v>
      </c>
      <c r="D27" s="352" cm="1">
        <f t="array" ref="D27">+INDEX(Tabla3[PPI USA – INSTR. DE CONTROL PROC. INDUSTR.],$D$16)</f>
        <v>185.55799999999999</v>
      </c>
      <c r="H27" s="365">
        <v>40513</v>
      </c>
      <c r="I27" s="373">
        <f>+AVERAGEIF(TRM_dia[MES],Tabla3[[#This Row],[Fecha]],TRM_dia[TRM])</f>
        <v>1922.3312903225806</v>
      </c>
      <c r="J27">
        <v>199.1</v>
      </c>
      <c r="K27">
        <v>73.45</v>
      </c>
      <c r="L27">
        <v>232.7</v>
      </c>
      <c r="M27">
        <v>114</v>
      </c>
      <c r="N27">
        <v>147</v>
      </c>
      <c r="O27">
        <v>223.4</v>
      </c>
      <c r="P27">
        <v>238.5</v>
      </c>
      <c r="Q27">
        <v>122</v>
      </c>
      <c r="R27">
        <v>192.5</v>
      </c>
      <c r="S27" s="373">
        <f>+INDEX(Tabla2[Salarios],MATCH(YEAR(Tabla3[[#This Row],[Fecha]]),Tabla2[año],0))/Tabla3[[#This Row],[TRM año de cálculo $/USD]]</f>
        <v>267.90387410984681</v>
      </c>
      <c r="T27">
        <f>+Tabla3[[#This Row],[IPC]]/Tabla3[[#This Row],[TRM año de cálculo $/USD]]</f>
        <v>3.8208814666734467E-2</v>
      </c>
      <c r="AF27" s="367">
        <f t="shared" si="0"/>
        <v>39814</v>
      </c>
      <c r="AG27" s="368">
        <v>39837</v>
      </c>
      <c r="AH27" s="369">
        <v>2280.77</v>
      </c>
    </row>
    <row r="28" spans="2:34" ht="15">
      <c r="B28" s="351" t="s">
        <v>123</v>
      </c>
      <c r="C28" s="829" cm="1">
        <f t="array" ref="C28">+INDEX(Tabla3[PPI USA – TABLEROS Y EQUIPOS DE CONTROL.],$C$16)</f>
        <v>293.71600000000001</v>
      </c>
      <c r="D28" s="352" cm="1">
        <f t="array" ref="D28">+INDEX(Tabla3[PPI USA – TABLEROS Y EQUIPOS DE CONTROL.],$D$16)</f>
        <v>293.71600000000001</v>
      </c>
      <c r="H28" s="365">
        <v>40544</v>
      </c>
      <c r="I28" s="373">
        <f>+AVERAGEIF(TRM_dia[MES],Tabla3[[#This Row],[Fecha]],TRM_dia[TRM])</f>
        <v>1867.0767741935488</v>
      </c>
      <c r="J28">
        <v>206.5</v>
      </c>
      <c r="K28">
        <v>74.12</v>
      </c>
      <c r="L28">
        <v>229.3</v>
      </c>
      <c r="M28">
        <v>115.8</v>
      </c>
      <c r="N28">
        <v>149.4</v>
      </c>
      <c r="O28">
        <v>231.9</v>
      </c>
      <c r="P28">
        <v>240.5</v>
      </c>
      <c r="Q28">
        <v>122.9</v>
      </c>
      <c r="R28">
        <v>192.2</v>
      </c>
      <c r="S28" s="373">
        <f>+INDEX(Tabla2[Salarios],MATCH(YEAR(Tabla3[[#This Row],[Fecha]]),Tabla2[año],0))/Tabla3[[#This Row],[TRM año de cálculo $/USD]]</f>
        <v>286.8655469357135</v>
      </c>
      <c r="T28">
        <f>+Tabla3[[#This Row],[IPC]]/Tabla3[[#This Row],[TRM año de cálculo $/USD]]</f>
        <v>3.9698421095733918E-2</v>
      </c>
      <c r="AF28" s="367">
        <f t="shared" si="0"/>
        <v>39814</v>
      </c>
      <c r="AG28" s="368">
        <v>39838</v>
      </c>
      <c r="AH28" s="369">
        <v>2280.77</v>
      </c>
    </row>
    <row r="29" spans="2:34" ht="15">
      <c r="B29" s="45" t="s">
        <v>150</v>
      </c>
      <c r="C29" s="829" cm="1">
        <f t="array" ref="C29">+INDEX(Tabla3[FACTOR  INCREMENTO MANO DE OBRA],$C$16)</f>
        <v>296.45516858552116</v>
      </c>
      <c r="D29" s="352" cm="1">
        <f t="array" ref="D29">+INDEX(Tabla3[FACTOR  INCREMENTO MANO DE OBRA],$D$16)</f>
        <v>296.45516858552116</v>
      </c>
      <c r="H29" s="365">
        <v>40575</v>
      </c>
      <c r="I29" s="373">
        <f>+AVERAGEIF(TRM_dia[MES],Tabla3[[#This Row],[Fecha]],TRM_dia[TRM])</f>
        <v>1882.3714285714284</v>
      </c>
      <c r="J29">
        <v>212.6</v>
      </c>
      <c r="K29">
        <v>74.569999999999993</v>
      </c>
      <c r="L29">
        <v>230.9</v>
      </c>
      <c r="M29">
        <v>116.4</v>
      </c>
      <c r="N29">
        <v>149.6</v>
      </c>
      <c r="O29">
        <v>233</v>
      </c>
      <c r="P29">
        <v>242.9</v>
      </c>
      <c r="Q29">
        <v>124.3</v>
      </c>
      <c r="R29">
        <v>192.6</v>
      </c>
      <c r="S29" s="373">
        <f>+INDEX(Tabla2[Salarios],MATCH(YEAR(Tabla3[[#This Row],[Fecha]]),Tabla2[año],0))/Tabla3[[#This Row],[TRM año de cálculo $/USD]]</f>
        <v>284.53470546271421</v>
      </c>
      <c r="T29">
        <f>+Tabla3[[#This Row],[IPC]]/Tabla3[[#This Row],[TRM año de cálculo $/USD]]</f>
        <v>3.9614923424859221E-2</v>
      </c>
      <c r="AF29" s="367">
        <f t="shared" si="0"/>
        <v>39814</v>
      </c>
      <c r="AG29" s="368">
        <v>39839</v>
      </c>
      <c r="AH29" s="369">
        <v>2280.77</v>
      </c>
    </row>
    <row r="30" spans="2:34">
      <c r="B30" s="45" t="s">
        <v>157</v>
      </c>
      <c r="C30" s="465">
        <v>0.1</v>
      </c>
      <c r="D30" s="48">
        <v>0.1</v>
      </c>
      <c r="H30" s="365">
        <v>40603</v>
      </c>
      <c r="I30" s="373">
        <f>+AVERAGEIF(TRM_dia[MES],Tabla3[[#This Row],[Fecha]],TRM_dia[TRM])</f>
        <v>1881.8148387096778</v>
      </c>
      <c r="J30">
        <v>217.7</v>
      </c>
      <c r="K30">
        <v>74.77</v>
      </c>
      <c r="L30">
        <v>231.5</v>
      </c>
      <c r="M30">
        <v>116.3</v>
      </c>
      <c r="N30">
        <v>149.6</v>
      </c>
      <c r="O30">
        <v>234.1</v>
      </c>
      <c r="P30">
        <v>244.1</v>
      </c>
      <c r="Q30">
        <v>124.3</v>
      </c>
      <c r="R30">
        <v>193.4</v>
      </c>
      <c r="S30" s="373">
        <f>+INDEX(Tabla2[Salarios],MATCH(YEAR(Tabla3[[#This Row],[Fecha]]),Tabla2[año],0))/Tabla3[[#This Row],[TRM año de cálculo $/USD]]</f>
        <v>284.61886312218161</v>
      </c>
      <c r="T30">
        <f>+Tabla3[[#This Row],[IPC]]/Tabla3[[#This Row],[TRM año de cálculo $/USD]]</f>
        <v>3.9732920828315005E-2</v>
      </c>
      <c r="AF30" s="367">
        <f t="shared" si="0"/>
        <v>39814</v>
      </c>
      <c r="AG30" s="368">
        <v>39840</v>
      </c>
      <c r="AH30" s="369">
        <v>2280.4299999999998</v>
      </c>
    </row>
    <row r="31" spans="2:34">
      <c r="B31" s="45"/>
      <c r="C31" s="410"/>
      <c r="D31" s="46"/>
      <c r="H31" s="365">
        <v>40634</v>
      </c>
      <c r="I31" s="373">
        <f>+AVERAGEIF(TRM_dia[MES],Tabla3[[#This Row],[Fecha]],TRM_dia[TRM])</f>
        <v>1809.8339999999994</v>
      </c>
      <c r="J31">
        <v>223.9</v>
      </c>
      <c r="K31">
        <v>74.86</v>
      </c>
      <c r="L31">
        <v>231.7</v>
      </c>
      <c r="M31">
        <v>116.4</v>
      </c>
      <c r="N31">
        <v>150.80000000000001</v>
      </c>
      <c r="O31">
        <v>234.4</v>
      </c>
      <c r="P31">
        <v>245.7</v>
      </c>
      <c r="Q31">
        <v>125.2</v>
      </c>
      <c r="R31">
        <v>193.9</v>
      </c>
      <c r="S31" s="373">
        <f>+INDEX(Tabla2[Salarios],MATCH(YEAR(Tabla3[[#This Row],[Fecha]]),Tabla2[año],0))/Tabla3[[#This Row],[TRM año de cálculo $/USD]]</f>
        <v>295.93874355327625</v>
      </c>
      <c r="T31">
        <f>+Tabla3[[#This Row],[IPC]]/Tabla3[[#This Row],[TRM año de cálculo $/USD]]</f>
        <v>4.1362909526509076E-2</v>
      </c>
      <c r="AF31" s="367">
        <f t="shared" si="0"/>
        <v>39814</v>
      </c>
      <c r="AG31" s="368">
        <v>39841</v>
      </c>
      <c r="AH31" s="369">
        <v>2310.83</v>
      </c>
    </row>
    <row r="32" spans="2:34">
      <c r="B32" s="45" t="s">
        <v>158</v>
      </c>
      <c r="C32" s="465">
        <v>0.19</v>
      </c>
      <c r="D32" s="48">
        <v>0.19</v>
      </c>
      <c r="H32" s="365">
        <v>40664</v>
      </c>
      <c r="I32" s="373">
        <f>+AVERAGEIF(TRM_dia[MES],Tabla3[[#This Row],[Fecha]],TRM_dia[TRM])</f>
        <v>1800.5087096774189</v>
      </c>
      <c r="J32">
        <v>225.1</v>
      </c>
      <c r="K32">
        <v>75.069999999999993</v>
      </c>
      <c r="L32">
        <v>232.2</v>
      </c>
      <c r="M32">
        <v>116.2</v>
      </c>
      <c r="N32">
        <v>150.80000000000001</v>
      </c>
      <c r="O32">
        <v>234.8</v>
      </c>
      <c r="P32">
        <v>246.5</v>
      </c>
      <c r="Q32">
        <v>125.3</v>
      </c>
      <c r="R32">
        <v>193.9</v>
      </c>
      <c r="S32" s="373">
        <f>+INDEX(Tabla2[Salarios],MATCH(YEAR(Tabla3[[#This Row],[Fecha]]),Tabla2[año],0))/Tabla3[[#This Row],[TRM año de cálculo $/USD]]</f>
        <v>297.47148520928772</v>
      </c>
      <c r="T32">
        <f>+Tabla3[[#This Row],[IPC]]/Tabla3[[#This Row],[TRM año de cálculo $/USD]]</f>
        <v>4.1693772208105349E-2</v>
      </c>
      <c r="AF32" s="367">
        <f t="shared" si="0"/>
        <v>39814</v>
      </c>
      <c r="AG32" s="368">
        <v>39842</v>
      </c>
      <c r="AH32" s="369">
        <v>2341.09</v>
      </c>
    </row>
    <row r="33" spans="2:34">
      <c r="H33" s="365">
        <v>40695</v>
      </c>
      <c r="I33" s="373">
        <f>+AVERAGEIF(TRM_dia[MES],Tabla3[[#This Row],[Fecha]],TRM_dia[TRM])</f>
        <v>1783.159333333334</v>
      </c>
      <c r="J33">
        <v>225.4</v>
      </c>
      <c r="K33">
        <v>75.31</v>
      </c>
      <c r="L33">
        <v>231.8</v>
      </c>
      <c r="M33">
        <v>116.8</v>
      </c>
      <c r="N33">
        <v>150.80000000000001</v>
      </c>
      <c r="O33">
        <v>245.1</v>
      </c>
      <c r="P33">
        <v>245.6</v>
      </c>
      <c r="Q33">
        <v>125.5</v>
      </c>
      <c r="R33">
        <v>195.1</v>
      </c>
      <c r="S33" s="373">
        <f>+INDEX(Tabla2[Salarios],MATCH(YEAR(Tabla3[[#This Row],[Fecha]]),Tabla2[año],0))/Tabla3[[#This Row],[TRM año de cálculo $/USD]]</f>
        <v>300.36575531294818</v>
      </c>
      <c r="T33">
        <f>+Tabla3[[#This Row],[IPC]]/Tabla3[[#This Row],[TRM año de cálculo $/USD]]</f>
        <v>4.2234027320048786E-2</v>
      </c>
      <c r="AF33" s="367">
        <f t="shared" si="0"/>
        <v>39814</v>
      </c>
      <c r="AG33" s="368">
        <v>39843</v>
      </c>
      <c r="AH33" s="369">
        <v>2386.58</v>
      </c>
    </row>
    <row r="34" spans="2:34">
      <c r="H34" s="365">
        <v>40725</v>
      </c>
      <c r="I34" s="373">
        <f>+AVERAGEIF(TRM_dia[MES],Tabla3[[#This Row],[Fecha]],TRM_dia[TRM])</f>
        <v>1761.5938709677416</v>
      </c>
      <c r="J34">
        <v>227.2</v>
      </c>
      <c r="K34">
        <v>75.42</v>
      </c>
      <c r="L34">
        <v>232.8</v>
      </c>
      <c r="M34">
        <v>117</v>
      </c>
      <c r="N34">
        <v>151.1</v>
      </c>
      <c r="O34">
        <v>244.8</v>
      </c>
      <c r="P34">
        <v>245.3</v>
      </c>
      <c r="Q34">
        <v>126.3</v>
      </c>
      <c r="R34">
        <v>195.4</v>
      </c>
      <c r="S34" s="373">
        <f>+INDEX(Tabla2[Salarios],MATCH(YEAR(Tabla3[[#This Row],[Fecha]]),Tabla2[año],0))/Tabla3[[#This Row],[TRM año de cálculo $/USD]]</f>
        <v>304.04283803835278</v>
      </c>
      <c r="T34">
        <f>+Tabla3[[#This Row],[IPC]]/Tabla3[[#This Row],[TRM año de cálculo $/USD]]</f>
        <v>4.2813500457155651E-2</v>
      </c>
      <c r="AF34" s="367">
        <f t="shared" si="0"/>
        <v>39814</v>
      </c>
      <c r="AG34" s="368">
        <v>39844</v>
      </c>
      <c r="AH34" s="369">
        <v>2420.2600000000002</v>
      </c>
    </row>
    <row r="35" spans="2:34">
      <c r="B35" s="701" t="s">
        <v>159</v>
      </c>
      <c r="C35" s="701"/>
      <c r="D35" s="701"/>
      <c r="E35" s="701"/>
      <c r="F35" s="701"/>
      <c r="H35" s="365">
        <v>40756</v>
      </c>
      <c r="I35" s="373">
        <f>+AVERAGEIF(TRM_dia[MES],Tabla3[[#This Row],[Fecha]],TRM_dia[TRM])</f>
        <v>1785.56</v>
      </c>
      <c r="J35">
        <v>228.9</v>
      </c>
      <c r="K35">
        <v>75.39</v>
      </c>
      <c r="L35">
        <v>233.1</v>
      </c>
      <c r="M35">
        <v>117</v>
      </c>
      <c r="N35">
        <v>151.1</v>
      </c>
      <c r="O35">
        <v>244.6</v>
      </c>
      <c r="P35">
        <v>245.3</v>
      </c>
      <c r="Q35">
        <v>126.8</v>
      </c>
      <c r="R35">
        <v>195.5</v>
      </c>
      <c r="S35" s="373">
        <f>+INDEX(Tabla2[Salarios],MATCH(YEAR(Tabla3[[#This Row],[Fecha]]),Tabla2[año],0))/Tabla3[[#This Row],[TRM año de cálculo $/USD]]</f>
        <v>299.96191670960371</v>
      </c>
      <c r="T35">
        <f>+Tabla3[[#This Row],[IPC]]/Tabla3[[#This Row],[TRM año de cálculo $/USD]]</f>
        <v>4.2222047984945901E-2</v>
      </c>
      <c r="AF35" s="367">
        <f t="shared" si="0"/>
        <v>39845</v>
      </c>
      <c r="AG35" s="368">
        <v>39845</v>
      </c>
      <c r="AH35" s="369">
        <v>2420.2600000000002</v>
      </c>
    </row>
    <row r="36" spans="2:34">
      <c r="B36" s="46" t="s">
        <v>160</v>
      </c>
      <c r="C36" s="46" t="s">
        <v>161</v>
      </c>
      <c r="D36" s="46" t="s">
        <v>162</v>
      </c>
      <c r="E36" s="46" t="s">
        <v>163</v>
      </c>
      <c r="F36" s="46" t="s">
        <v>164</v>
      </c>
      <c r="H36" s="365">
        <v>40787</v>
      </c>
      <c r="I36" s="373">
        <f>+AVERAGEIF(TRM_dia[MES],Tabla3[[#This Row],[Fecha]],TRM_dia[TRM])</f>
        <v>1833.3196666666665</v>
      </c>
      <c r="J36">
        <v>228.8</v>
      </c>
      <c r="K36">
        <v>75.62</v>
      </c>
      <c r="L36">
        <v>233.1</v>
      </c>
      <c r="M36">
        <v>117.6</v>
      </c>
      <c r="N36">
        <v>153.4</v>
      </c>
      <c r="O36">
        <v>244.6</v>
      </c>
      <c r="P36">
        <v>243.5</v>
      </c>
      <c r="Q36">
        <v>126.9</v>
      </c>
      <c r="R36">
        <v>195.9</v>
      </c>
      <c r="S36" s="373">
        <f>+INDEX(Tabla2[Salarios],MATCH(YEAR(Tabla3[[#This Row],[Fecha]]),Tabla2[año],0))/Tabla3[[#This Row],[TRM año de cálculo $/USD]]</f>
        <v>292.14763237325951</v>
      </c>
      <c r="T36">
        <f>+Tabla3[[#This Row],[IPC]]/Tabla3[[#This Row],[TRM año de cálculo $/USD]]</f>
        <v>4.1247580209234296E-2</v>
      </c>
      <c r="AF36" s="367">
        <f t="shared" si="0"/>
        <v>39845</v>
      </c>
      <c r="AG36" s="368">
        <v>39846</v>
      </c>
      <c r="AH36" s="369">
        <v>2420.2600000000002</v>
      </c>
    </row>
    <row r="37" spans="2:34" ht="15">
      <c r="B37" s="45" t="s">
        <v>165</v>
      </c>
      <c r="C37" s="388">
        <v>5.1000000000000004E-3</v>
      </c>
      <c r="D37" s="388">
        <v>8.2000000000000007E-3</v>
      </c>
      <c r="E37" s="48">
        <v>5.1000000000000004E-3</v>
      </c>
      <c r="F37" s="48">
        <v>8.2000000000000007E-3</v>
      </c>
      <c r="H37" s="365">
        <v>40817</v>
      </c>
      <c r="I37" s="373">
        <f>+AVERAGEIF(TRM_dia[MES],Tabla3[[#This Row],[Fecha]],TRM_dia[TRM])</f>
        <v>1907.609032258064</v>
      </c>
      <c r="J37">
        <v>227.3</v>
      </c>
      <c r="K37">
        <v>75.77</v>
      </c>
      <c r="L37">
        <v>233.5</v>
      </c>
      <c r="M37">
        <v>117.9</v>
      </c>
      <c r="N37">
        <v>153.80000000000001</v>
      </c>
      <c r="O37">
        <v>244.8</v>
      </c>
      <c r="P37">
        <v>243.4</v>
      </c>
      <c r="Q37">
        <v>126.7</v>
      </c>
      <c r="R37">
        <v>195.3</v>
      </c>
      <c r="S37" s="373">
        <f>+INDEX(Tabla2[Salarios],MATCH(YEAR(Tabla3[[#This Row],[Fecha]]),Tabla2[año],0))/Tabla3[[#This Row],[TRM año de cálculo $/USD]]</f>
        <v>280.77032082722036</v>
      </c>
      <c r="T37">
        <f>+Tabla3[[#This Row],[IPC]]/Tabla3[[#This Row],[TRM año de cálculo $/USD]]</f>
        <v>3.9719879031139819E-2</v>
      </c>
      <c r="AF37" s="367">
        <f t="shared" si="0"/>
        <v>39845</v>
      </c>
      <c r="AG37" s="368">
        <v>39847</v>
      </c>
      <c r="AH37" s="369">
        <v>2450.7800000000002</v>
      </c>
    </row>
    <row r="38" spans="2:34" ht="15">
      <c r="B38" s="45" t="s">
        <v>166</v>
      </c>
      <c r="C38" s="388">
        <v>1.6199999999999999E-2</v>
      </c>
      <c r="D38" s="388">
        <v>0.1048</v>
      </c>
      <c r="E38" s="48">
        <v>1.6199999999999999E-2</v>
      </c>
      <c r="F38" s="48">
        <v>0.1048</v>
      </c>
      <c r="H38" s="365">
        <v>40848</v>
      </c>
      <c r="I38" s="373">
        <f>+AVERAGEIF(TRM_dia[MES],Tabla3[[#This Row],[Fecha]],TRM_dia[TRM])</f>
        <v>1919.4749999999999</v>
      </c>
      <c r="J38">
        <v>227.6</v>
      </c>
      <c r="K38">
        <v>75.87</v>
      </c>
      <c r="L38">
        <v>233.5</v>
      </c>
      <c r="M38">
        <v>117.9</v>
      </c>
      <c r="N38">
        <v>154</v>
      </c>
      <c r="O38">
        <v>245.1</v>
      </c>
      <c r="P38">
        <v>243.4</v>
      </c>
      <c r="Q38">
        <v>126.7</v>
      </c>
      <c r="R38">
        <v>195.1</v>
      </c>
      <c r="S38" s="373">
        <f>+INDEX(Tabla2[Salarios],MATCH(YEAR(Tabla3[[#This Row],[Fecha]]),Tabla2[año],0))/Tabla3[[#This Row],[TRM año de cálculo $/USD]]</f>
        <v>279.03463186548407</v>
      </c>
      <c r="T38">
        <f>+Tabla3[[#This Row],[IPC]]/Tabla3[[#This Row],[TRM año de cálculo $/USD]]</f>
        <v>3.9526433009025912E-2</v>
      </c>
      <c r="AF38" s="367">
        <f t="shared" si="0"/>
        <v>39845</v>
      </c>
      <c r="AG38" s="368">
        <v>39848</v>
      </c>
      <c r="AH38" s="369">
        <v>2443.67</v>
      </c>
    </row>
    <row r="39" spans="2:34" ht="15">
      <c r="B39" s="45" t="s">
        <v>167</v>
      </c>
      <c r="C39" s="388">
        <v>1.89E-2</v>
      </c>
      <c r="D39" s="388">
        <v>2.7E-2</v>
      </c>
      <c r="E39" s="48">
        <v>1.89E-2</v>
      </c>
      <c r="F39" s="48">
        <v>2.7E-2</v>
      </c>
      <c r="H39" s="365">
        <v>40878</v>
      </c>
      <c r="I39" s="373">
        <f>+AVERAGEIF(TRM_dia[MES],Tabla3[[#This Row],[Fecha]],TRM_dia[TRM])</f>
        <v>1933.3512903225801</v>
      </c>
      <c r="J39">
        <v>225.3</v>
      </c>
      <c r="K39">
        <v>76.19</v>
      </c>
      <c r="L39">
        <v>233.5</v>
      </c>
      <c r="M39">
        <v>117.9</v>
      </c>
      <c r="N39">
        <v>156</v>
      </c>
      <c r="O39">
        <v>246.2</v>
      </c>
      <c r="P39">
        <v>243.8</v>
      </c>
      <c r="Q39">
        <v>126.7</v>
      </c>
      <c r="R39">
        <v>196</v>
      </c>
      <c r="S39" s="373">
        <f>+INDEX(Tabla2[Salarios],MATCH(YEAR(Tabla3[[#This Row],[Fecha]]),Tabla2[año],0))/Tabla3[[#This Row],[TRM año de cálculo $/USD]]</f>
        <v>277.03190965912614</v>
      </c>
      <c r="T39">
        <f>+Tabla3[[#This Row],[IPC]]/Tabla3[[#This Row],[TRM año de cálculo $/USD]]</f>
        <v>3.9408254661928342E-2</v>
      </c>
      <c r="AF39" s="367">
        <f t="shared" si="0"/>
        <v>39845</v>
      </c>
      <c r="AG39" s="368">
        <v>39849</v>
      </c>
      <c r="AH39" s="369">
        <v>2469.02</v>
      </c>
    </row>
    <row r="40" spans="2:34" ht="15">
      <c r="B40" s="45" t="s">
        <v>168</v>
      </c>
      <c r="C40" s="388">
        <v>8.2000000000000007E-3</v>
      </c>
      <c r="D40" s="388">
        <v>7.3000000000000001E-3</v>
      </c>
      <c r="E40" s="48">
        <v>8.2000000000000007E-3</v>
      </c>
      <c r="F40" s="48">
        <v>7.3000000000000001E-3</v>
      </c>
      <c r="H40" s="365">
        <v>40909</v>
      </c>
      <c r="I40" s="373">
        <f>+AVERAGEIF(TRM_dia[MES],Tabla3[[#This Row],[Fecha]],TRM_dia[TRM])</f>
        <v>1853.2822580645166</v>
      </c>
      <c r="J40">
        <v>226.8</v>
      </c>
      <c r="K40">
        <v>76.75</v>
      </c>
      <c r="L40">
        <v>233.9</v>
      </c>
      <c r="M40">
        <v>118.2</v>
      </c>
      <c r="N40">
        <v>158.30000000000001</v>
      </c>
      <c r="O40">
        <v>246.3</v>
      </c>
      <c r="P40">
        <v>246.8</v>
      </c>
      <c r="Q40">
        <v>126.8</v>
      </c>
      <c r="R40">
        <v>195.9</v>
      </c>
      <c r="S40" s="373">
        <f>+INDEX(Tabla2[Salarios],MATCH(YEAR(Tabla3[[#This Row],[Fecha]]),Tabla2[año],0))/Tabla3[[#This Row],[TRM año de cálculo $/USD]]</f>
        <v>305.78180821297866</v>
      </c>
      <c r="T40">
        <f>+Tabla3[[#This Row],[IPC]]/Tabla3[[#This Row],[TRM año de cálculo $/USD]]</f>
        <v>4.1413011788152661E-2</v>
      </c>
      <c r="AF40" s="367">
        <f t="shared" si="0"/>
        <v>39845</v>
      </c>
      <c r="AG40" s="368">
        <v>39850</v>
      </c>
      <c r="AH40" s="369">
        <v>2472.65</v>
      </c>
    </row>
    <row r="41" spans="2:34" ht="15">
      <c r="B41" s="45"/>
      <c r="C41" s="389"/>
      <c r="D41" s="389"/>
      <c r="E41" s="46"/>
      <c r="F41" s="46"/>
      <c r="H41" s="365">
        <v>40940</v>
      </c>
      <c r="I41" s="373">
        <f>+AVERAGEIF(TRM_dia[MES],Tabla3[[#This Row],[Fecha]],TRM_dia[TRM])</f>
        <v>1782.7548275862066</v>
      </c>
      <c r="J41">
        <v>224.7</v>
      </c>
      <c r="K41">
        <v>77.22</v>
      </c>
      <c r="L41">
        <v>236.6</v>
      </c>
      <c r="M41">
        <v>118.2</v>
      </c>
      <c r="N41">
        <v>158.30000000000001</v>
      </c>
      <c r="O41">
        <v>246.3</v>
      </c>
      <c r="P41">
        <v>247.1</v>
      </c>
      <c r="Q41">
        <v>127</v>
      </c>
      <c r="R41">
        <v>196.2</v>
      </c>
      <c r="S41" s="373">
        <f>+INDEX(Tabla2[Salarios],MATCH(YEAR(Tabla3[[#This Row],[Fecha]]),Tabla2[año],0))/Tabla3[[#This Row],[TRM año de cálculo $/USD]]</f>
        <v>317.87881947137612</v>
      </c>
      <c r="T41">
        <f>+Tabla3[[#This Row],[IPC]]/Tabla3[[#This Row],[TRM año de cálculo $/USD]]</f>
        <v>4.3314985776565486E-2</v>
      </c>
      <c r="AF41" s="367">
        <f t="shared" si="0"/>
        <v>39845</v>
      </c>
      <c r="AG41" s="368">
        <v>39851</v>
      </c>
      <c r="AH41" s="369">
        <v>2449.4899999999998</v>
      </c>
    </row>
    <row r="42" spans="2:34">
      <c r="B42" s="350" t="s">
        <v>169</v>
      </c>
      <c r="C42" s="350">
        <f>SUM(C37:C41)</f>
        <v>4.8399999999999999E-2</v>
      </c>
      <c r="D42" s="350">
        <f>SUM(D37:D41)</f>
        <v>0.14730000000000001</v>
      </c>
      <c r="E42" s="350">
        <f>SUM(E37:E41)</f>
        <v>4.8399999999999999E-2</v>
      </c>
      <c r="F42" s="350">
        <f>SUM(F37:F41)</f>
        <v>0.14730000000000001</v>
      </c>
      <c r="H42" s="365">
        <v>40969</v>
      </c>
      <c r="I42" s="373">
        <f>+AVERAGEIF(TRM_dia[MES],Tabla3[[#This Row],[Fecha]],TRM_dia[TRM])</f>
        <v>1766.3316129032257</v>
      </c>
      <c r="J42">
        <v>223.1</v>
      </c>
      <c r="K42">
        <v>77.31</v>
      </c>
      <c r="L42">
        <v>237.4</v>
      </c>
      <c r="M42">
        <v>118.2</v>
      </c>
      <c r="N42">
        <v>158.6</v>
      </c>
      <c r="O42">
        <v>246.1</v>
      </c>
      <c r="P42">
        <v>243.5</v>
      </c>
      <c r="Q42">
        <v>127</v>
      </c>
      <c r="R42">
        <v>196.6</v>
      </c>
      <c r="S42" s="373">
        <f>+INDEX(Tabla2[Salarios],MATCH(YEAR(Tabla3[[#This Row],[Fecha]]),Tabla2[año],0))/Tabla3[[#This Row],[TRM año de cálculo $/USD]]</f>
        <v>320.83443214184751</v>
      </c>
      <c r="T42">
        <f>+Tabla3[[#This Row],[IPC]]/Tabla3[[#This Row],[TRM año de cálculo $/USD]]</f>
        <v>4.3768678222844942E-2</v>
      </c>
      <c r="AF42" s="367">
        <f t="shared" si="0"/>
        <v>39845</v>
      </c>
      <c r="AG42" s="368">
        <v>39852</v>
      </c>
      <c r="AH42" s="369">
        <v>2449.4899999999998</v>
      </c>
    </row>
    <row r="43" spans="2:34">
      <c r="H43" s="365">
        <v>41000</v>
      </c>
      <c r="I43" s="373">
        <f>+AVERAGEIF(TRM_dia[MES],Tabla3[[#This Row],[Fecha]],TRM_dia[TRM])</f>
        <v>1774.2489999999993</v>
      </c>
      <c r="J43">
        <v>221.5</v>
      </c>
      <c r="K43">
        <v>77.42</v>
      </c>
      <c r="L43">
        <v>237.5</v>
      </c>
      <c r="M43">
        <v>119.2</v>
      </c>
      <c r="N43">
        <v>159.1</v>
      </c>
      <c r="O43">
        <v>247.2</v>
      </c>
      <c r="P43">
        <v>245.4</v>
      </c>
      <c r="Q43">
        <v>128.1</v>
      </c>
      <c r="R43">
        <v>196.8</v>
      </c>
      <c r="S43" s="373">
        <f>+INDEX(Tabla2[Salarios],MATCH(YEAR(Tabla3[[#This Row],[Fecha]]),Tabla2[año],0))/Tabla3[[#This Row],[TRM año de cálculo $/USD]]</f>
        <v>319.40274448513156</v>
      </c>
      <c r="T43">
        <f>+Tabla3[[#This Row],[IPC]]/Tabla3[[#This Row],[TRM año de cálculo $/USD]]</f>
        <v>4.3635363469276316E-2</v>
      </c>
      <c r="AF43" s="367">
        <f t="shared" si="0"/>
        <v>39845</v>
      </c>
      <c r="AG43" s="368">
        <v>39853</v>
      </c>
      <c r="AH43" s="369">
        <v>2449.4899999999998</v>
      </c>
    </row>
    <row r="44" spans="2:34">
      <c r="H44" s="365">
        <v>41030</v>
      </c>
      <c r="I44" s="373">
        <f>+AVERAGEIF(TRM_dia[MES],Tabla3[[#This Row],[Fecha]],TRM_dia[TRM])</f>
        <v>1793.2767741935484</v>
      </c>
      <c r="J44">
        <v>217.5</v>
      </c>
      <c r="K44">
        <v>77.66</v>
      </c>
      <c r="L44">
        <v>237.6</v>
      </c>
      <c r="M44">
        <v>119.3</v>
      </c>
      <c r="N44">
        <v>159.1</v>
      </c>
      <c r="O44">
        <v>247.2</v>
      </c>
      <c r="P44">
        <v>244.6</v>
      </c>
      <c r="Q44">
        <v>128.19999999999999</v>
      </c>
      <c r="R44">
        <v>196.7</v>
      </c>
      <c r="S44" s="373">
        <f>+INDEX(Tabla2[Salarios],MATCH(YEAR(Tabla3[[#This Row],[Fecha]]),Tabla2[año],0))/Tabla3[[#This Row],[TRM año de cálculo $/USD]]</f>
        <v>316.01368408669083</v>
      </c>
      <c r="T44">
        <f>+Tabla3[[#This Row],[IPC]]/Tabla3[[#This Row],[TRM año de cálculo $/USD]]</f>
        <v>4.3306198528626098E-2</v>
      </c>
      <c r="AF44" s="367">
        <f t="shared" si="0"/>
        <v>39845</v>
      </c>
      <c r="AG44" s="368">
        <v>39854</v>
      </c>
      <c r="AH44" s="369">
        <v>2450.6</v>
      </c>
    </row>
    <row r="45" spans="2:34">
      <c r="H45" s="365">
        <v>41061</v>
      </c>
      <c r="I45" s="373">
        <f>+AVERAGEIF(TRM_dia[MES],Tabla3[[#This Row],[Fecha]],TRM_dia[TRM])</f>
        <v>1792.5466666666664</v>
      </c>
      <c r="J45">
        <v>214.1</v>
      </c>
      <c r="K45">
        <v>77.72</v>
      </c>
      <c r="L45">
        <v>238</v>
      </c>
      <c r="M45">
        <v>119.3</v>
      </c>
      <c r="N45">
        <v>159</v>
      </c>
      <c r="O45">
        <v>247.4</v>
      </c>
      <c r="P45">
        <v>243.2</v>
      </c>
      <c r="Q45">
        <v>128.4</v>
      </c>
      <c r="R45">
        <v>196.3</v>
      </c>
      <c r="S45" s="373">
        <f>+INDEX(Tabla2[Salarios],MATCH(YEAR(Tabla3[[#This Row],[Fecha]]),Tabla2[año],0))/Tabla3[[#This Row],[TRM año de cálculo $/USD]]</f>
        <v>316.14239703661832</v>
      </c>
      <c r="T45">
        <f>+Tabla3[[#This Row],[IPC]]/Tabla3[[#This Row],[TRM año de cálculo $/USD]]</f>
        <v>4.3357309154201475E-2</v>
      </c>
      <c r="AF45" s="367">
        <f t="shared" si="0"/>
        <v>39845</v>
      </c>
      <c r="AG45" s="368">
        <v>39855</v>
      </c>
      <c r="AH45" s="369">
        <v>2494.0700000000002</v>
      </c>
    </row>
    <row r="46" spans="2:34">
      <c r="H46" s="365">
        <v>41091</v>
      </c>
      <c r="I46" s="373">
        <f>+AVERAGEIF(TRM_dia[MES],Tabla3[[#This Row],[Fecha]],TRM_dia[TRM])</f>
        <v>1783.8203225806458</v>
      </c>
      <c r="J46">
        <v>212.3</v>
      </c>
      <c r="K46">
        <v>77.7</v>
      </c>
      <c r="L46">
        <v>237.9</v>
      </c>
      <c r="M46">
        <v>119</v>
      </c>
      <c r="N46">
        <v>159.30000000000001</v>
      </c>
      <c r="O46">
        <v>246.8</v>
      </c>
      <c r="P46">
        <v>240.1</v>
      </c>
      <c r="Q46">
        <v>128.4</v>
      </c>
      <c r="R46">
        <v>195.5</v>
      </c>
      <c r="S46" s="373">
        <f>+INDEX(Tabla2[Salarios],MATCH(YEAR(Tabla3[[#This Row],[Fecha]]),Tabla2[año],0))/Tabla3[[#This Row],[TRM año de cálculo $/USD]]</f>
        <v>317.68894704605526</v>
      </c>
      <c r="T46">
        <f>+Tabla3[[#This Row],[IPC]]/Tabla3[[#This Row],[TRM año de cálculo $/USD]]</f>
        <v>4.3558198668569782E-2</v>
      </c>
      <c r="AF46" s="367">
        <f t="shared" si="0"/>
        <v>39845</v>
      </c>
      <c r="AG46" s="368">
        <v>39856</v>
      </c>
      <c r="AH46" s="369">
        <v>2537.8200000000002</v>
      </c>
    </row>
    <row r="47" spans="2:34">
      <c r="H47" s="365">
        <v>41122</v>
      </c>
      <c r="I47" s="373">
        <f>+AVERAGEIF(TRM_dia[MES],Tabla3[[#This Row],[Fecha]],TRM_dia[TRM])</f>
        <v>1805.5232872784859</v>
      </c>
      <c r="J47">
        <v>204.3</v>
      </c>
      <c r="K47">
        <v>77.73</v>
      </c>
      <c r="L47">
        <v>237.9</v>
      </c>
      <c r="M47">
        <v>119</v>
      </c>
      <c r="N47">
        <v>159.30000000000001</v>
      </c>
      <c r="O47">
        <v>247.5</v>
      </c>
      <c r="P47">
        <v>240.2</v>
      </c>
      <c r="Q47">
        <v>128.30000000000001</v>
      </c>
      <c r="R47">
        <v>196.9</v>
      </c>
      <c r="S47" s="373">
        <f>+INDEX(Tabla2[Salarios],MATCH(YEAR(Tabla3[[#This Row],[Fecha]]),Tabla2[año],0))/Tabla3[[#This Row],[TRM año de cálculo $/USD]]</f>
        <v>313.87022476691635</v>
      </c>
      <c r="T47">
        <f>+Tabla3[[#This Row],[IPC]]/Tabla3[[#This Row],[TRM año de cálculo $/USD]]</f>
        <v>4.3051230935472751E-2</v>
      </c>
      <c r="AF47" s="367">
        <f t="shared" si="0"/>
        <v>39845</v>
      </c>
      <c r="AG47" s="368">
        <v>39857</v>
      </c>
      <c r="AH47" s="369">
        <v>2520.06</v>
      </c>
    </row>
    <row r="48" spans="2:34">
      <c r="H48" s="365">
        <v>41153</v>
      </c>
      <c r="I48" s="373">
        <f>+AVERAGEIF(TRM_dia[MES],Tabla3[[#This Row],[Fecha]],TRM_dia[TRM])</f>
        <v>1802.7463333333337</v>
      </c>
      <c r="J48">
        <v>207.8</v>
      </c>
      <c r="K48">
        <v>77.959999999999994</v>
      </c>
      <c r="L48">
        <v>237.9</v>
      </c>
      <c r="M48">
        <v>119</v>
      </c>
      <c r="N48">
        <v>159.30000000000001</v>
      </c>
      <c r="O48">
        <v>247.3</v>
      </c>
      <c r="P48">
        <v>240.4</v>
      </c>
      <c r="Q48">
        <v>128.4</v>
      </c>
      <c r="R48">
        <v>196.2</v>
      </c>
      <c r="S48" s="373">
        <f>+INDEX(Tabla2[Salarios],MATCH(YEAR(Tabla3[[#This Row],[Fecha]]),Tabla2[año],0))/Tabla3[[#This Row],[TRM año de cálculo $/USD]]</f>
        <v>314.35371106935173</v>
      </c>
      <c r="T48">
        <f>+Tabla3[[#This Row],[IPC]]/Tabla3[[#This Row],[TRM año de cálculo $/USD]]</f>
        <v>4.3245130254043862E-2</v>
      </c>
      <c r="AF48" s="367">
        <f t="shared" si="0"/>
        <v>39845</v>
      </c>
      <c r="AG48" s="368">
        <v>39858</v>
      </c>
      <c r="AH48" s="369">
        <v>2509.5</v>
      </c>
    </row>
    <row r="49" spans="8:34">
      <c r="H49" s="365">
        <v>41183</v>
      </c>
      <c r="I49" s="373">
        <f>+AVERAGEIF(TRM_dia[MES],Tabla3[[#This Row],[Fecha]],TRM_dia[TRM])</f>
        <v>1804.4009677419353</v>
      </c>
      <c r="J49">
        <v>203.6</v>
      </c>
      <c r="K49">
        <v>78.08</v>
      </c>
      <c r="L49">
        <v>238</v>
      </c>
      <c r="M49">
        <v>119</v>
      </c>
      <c r="N49">
        <v>159.30000000000001</v>
      </c>
      <c r="O49">
        <v>247.6</v>
      </c>
      <c r="P49">
        <v>241.5</v>
      </c>
      <c r="Q49">
        <v>128.4</v>
      </c>
      <c r="R49">
        <v>196.4</v>
      </c>
      <c r="S49" s="373">
        <f>+INDEX(Tabla2[Salarios],MATCH(YEAR(Tabla3[[#This Row],[Fecha]]),Tabla2[año],0))/Tabla3[[#This Row],[TRM año de cálculo $/USD]]</f>
        <v>314.06544893909034</v>
      </c>
      <c r="T49">
        <f>+Tabla3[[#This Row],[IPC]]/Tabla3[[#This Row],[TRM año de cálculo $/USD]]</f>
        <v>4.3271978565668209E-2</v>
      </c>
      <c r="AF49" s="367">
        <f t="shared" si="0"/>
        <v>39845</v>
      </c>
      <c r="AG49" s="368">
        <v>39859</v>
      </c>
      <c r="AH49" s="369">
        <v>2509.5</v>
      </c>
    </row>
    <row r="50" spans="8:34">
      <c r="H50" s="365">
        <v>41214</v>
      </c>
      <c r="I50" s="373">
        <f>+AVERAGEIF(TRM_dia[MES],Tabla3[[#This Row],[Fecha]],TRM_dia[TRM])</f>
        <v>1821.0136666666672</v>
      </c>
      <c r="J50">
        <v>200.9</v>
      </c>
      <c r="K50">
        <v>77.98</v>
      </c>
      <c r="L50">
        <v>232.5</v>
      </c>
      <c r="M50">
        <v>119</v>
      </c>
      <c r="N50">
        <v>159.30000000000001</v>
      </c>
      <c r="O50">
        <v>247.4</v>
      </c>
      <c r="P50">
        <v>240.4</v>
      </c>
      <c r="Q50">
        <v>128.4</v>
      </c>
      <c r="R50">
        <v>196.7</v>
      </c>
      <c r="S50" s="373">
        <f>+INDEX(Tabla2[Salarios],MATCH(YEAR(Tabla3[[#This Row],[Fecha]]),Tabla2[año],0))/Tabla3[[#This Row],[TRM año de cálculo $/USD]]</f>
        <v>311.20030034554009</v>
      </c>
      <c r="T50">
        <f>+Tabla3[[#This Row],[IPC]]/Tabla3[[#This Row],[TRM año de cálculo $/USD]]</f>
        <v>4.2822303548518112E-2</v>
      </c>
      <c r="AF50" s="367">
        <f t="shared" si="0"/>
        <v>39845</v>
      </c>
      <c r="AG50" s="368">
        <v>39860</v>
      </c>
      <c r="AH50" s="369">
        <v>2509.5</v>
      </c>
    </row>
    <row r="51" spans="8:34">
      <c r="H51" s="365">
        <v>41244</v>
      </c>
      <c r="I51" s="373">
        <f>+AVERAGEIF(TRM_dia[MES],Tabla3[[#This Row],[Fecha]],TRM_dia[TRM])</f>
        <v>1792.4948387096781</v>
      </c>
      <c r="J51">
        <v>203.4</v>
      </c>
      <c r="K51">
        <v>78.05</v>
      </c>
      <c r="L51">
        <v>232.5</v>
      </c>
      <c r="M51">
        <v>119.1</v>
      </c>
      <c r="N51">
        <v>159.4</v>
      </c>
      <c r="O51">
        <v>247.7</v>
      </c>
      <c r="P51">
        <v>239.9</v>
      </c>
      <c r="Q51">
        <v>128.30000000000001</v>
      </c>
      <c r="R51">
        <v>196.9</v>
      </c>
      <c r="S51" s="373">
        <f>+INDEX(Tabla2[Salarios],MATCH(YEAR(Tabla3[[#This Row],[Fecha]]),Tabla2[año],0))/Tabla3[[#This Row],[TRM año de cálculo $/USD]]</f>
        <v>316.15153793577292</v>
      </c>
      <c r="T51">
        <f>+Tabla3[[#This Row],[IPC]]/Tabla3[[#This Row],[TRM año de cálculo $/USD]]</f>
        <v>4.3542663730169538E-2</v>
      </c>
      <c r="AF51" s="367">
        <f t="shared" si="0"/>
        <v>39845</v>
      </c>
      <c r="AG51" s="368">
        <v>39861</v>
      </c>
      <c r="AH51" s="369">
        <v>2509.5</v>
      </c>
    </row>
    <row r="52" spans="8:34">
      <c r="H52" s="365">
        <v>41275</v>
      </c>
      <c r="I52" s="373">
        <f>+AVERAGEIF(TRM_dia[MES],Tabla3[[#This Row],[Fecha]],TRM_dia[TRM])</f>
        <v>1769.6725806451611</v>
      </c>
      <c r="J52">
        <v>204</v>
      </c>
      <c r="K52">
        <v>78.28</v>
      </c>
      <c r="L52">
        <v>232.6</v>
      </c>
      <c r="M52">
        <v>121</v>
      </c>
      <c r="N52">
        <v>161.1</v>
      </c>
      <c r="O52">
        <v>247.6</v>
      </c>
      <c r="P52">
        <v>241.3</v>
      </c>
      <c r="Q52">
        <v>129</v>
      </c>
      <c r="R52">
        <v>198.9</v>
      </c>
      <c r="S52" s="373">
        <f>+INDEX(Tabla2[Salarios],MATCH(YEAR(Tabla3[[#This Row],[Fecha]]),Tabla2[año],0))/Tabla3[[#This Row],[TRM año de cálculo $/USD]]</f>
        <v>333.11246749672119</v>
      </c>
      <c r="T52">
        <f>+Tabla3[[#This Row],[IPC]]/Tabla3[[#This Row],[TRM año de cálculo $/USD]]</f>
        <v>4.4234171256392431E-2</v>
      </c>
      <c r="AF52" s="367">
        <f t="shared" si="0"/>
        <v>39845</v>
      </c>
      <c r="AG52" s="368">
        <v>39862</v>
      </c>
      <c r="AH52" s="369">
        <v>2554.4</v>
      </c>
    </row>
    <row r="53" spans="8:34">
      <c r="H53" s="365">
        <v>41306</v>
      </c>
      <c r="I53" s="373">
        <f>+AVERAGEIF(TRM_dia[MES],Tabla3[[#This Row],[Fecha]],TRM_dia[TRM])</f>
        <v>1790.5478571428569</v>
      </c>
      <c r="J53">
        <v>201.5</v>
      </c>
      <c r="K53">
        <v>78.63</v>
      </c>
      <c r="L53">
        <v>232.8</v>
      </c>
      <c r="M53">
        <v>121</v>
      </c>
      <c r="N53">
        <v>161.5</v>
      </c>
      <c r="O53">
        <v>247.6</v>
      </c>
      <c r="P53">
        <v>241.3</v>
      </c>
      <c r="Q53">
        <v>129.19999999999999</v>
      </c>
      <c r="R53">
        <v>199</v>
      </c>
      <c r="S53" s="373">
        <f>+INDEX(Tabla2[Salarios],MATCH(YEAR(Tabla3[[#This Row],[Fecha]]),Tabla2[año],0))/Tabla3[[#This Row],[TRM año de cálculo $/USD]]</f>
        <v>329.22884336677487</v>
      </c>
      <c r="T53">
        <f>+Tabla3[[#This Row],[IPC]]/Tabla3[[#This Row],[TRM año de cálculo $/USD]]</f>
        <v>4.3913933764087372E-2</v>
      </c>
      <c r="AF53" s="367">
        <f t="shared" si="0"/>
        <v>39845</v>
      </c>
      <c r="AG53" s="368">
        <v>39863</v>
      </c>
      <c r="AH53" s="369">
        <v>2558.14</v>
      </c>
    </row>
    <row r="54" spans="8:34">
      <c r="H54" s="365">
        <v>41334</v>
      </c>
      <c r="I54" s="373">
        <f>+AVERAGEIF(TRM_dia[MES],Tabla3[[#This Row],[Fecha]],TRM_dia[TRM])</f>
        <v>1813.7487096774191</v>
      </c>
      <c r="J54">
        <v>200.1</v>
      </c>
      <c r="K54">
        <v>78.790000000000006</v>
      </c>
      <c r="L54">
        <v>234.3</v>
      </c>
      <c r="M54">
        <v>121.6</v>
      </c>
      <c r="N54">
        <v>162.19999999999999</v>
      </c>
      <c r="O54">
        <v>247.6</v>
      </c>
      <c r="P54">
        <v>242.2</v>
      </c>
      <c r="Q54">
        <v>128.69999999999999</v>
      </c>
      <c r="R54">
        <v>199</v>
      </c>
      <c r="S54" s="373">
        <f>+INDEX(Tabla2[Salarios],MATCH(YEAR(Tabla3[[#This Row],[Fecha]]),Tabla2[año],0))/Tabla3[[#This Row],[TRM año de cálculo $/USD]]</f>
        <v>325.01746071805309</v>
      </c>
      <c r="T54">
        <f>+Tabla3[[#This Row],[IPC]]/Tabla3[[#This Row],[TRM año de cálculo $/USD]]</f>
        <v>4.3440416844741987E-2</v>
      </c>
      <c r="AF54" s="367">
        <f t="shared" si="0"/>
        <v>39845</v>
      </c>
      <c r="AG54" s="368">
        <v>39864</v>
      </c>
      <c r="AH54" s="369">
        <v>2547.4</v>
      </c>
    </row>
    <row r="55" spans="8:34">
      <c r="H55" s="365">
        <v>41365</v>
      </c>
      <c r="I55" s="373">
        <f>+AVERAGEIF(TRM_dia[MES],Tabla3[[#This Row],[Fecha]],TRM_dia[TRM])</f>
        <v>1830.2313333333329</v>
      </c>
      <c r="J55">
        <v>202.6</v>
      </c>
      <c r="K55">
        <v>78.989999999999995</v>
      </c>
      <c r="L55">
        <v>234.7</v>
      </c>
      <c r="M55">
        <v>121.6</v>
      </c>
      <c r="N55">
        <v>163.30000000000001</v>
      </c>
      <c r="O55">
        <v>247.6</v>
      </c>
      <c r="P55">
        <v>240.6</v>
      </c>
      <c r="Q55">
        <v>129</v>
      </c>
      <c r="R55">
        <v>199.2</v>
      </c>
      <c r="S55" s="373">
        <f>+INDEX(Tabla2[Salarios],MATCH(YEAR(Tabla3[[#This Row],[Fecha]]),Tabla2[año],0))/Tabla3[[#This Row],[TRM año de cálculo $/USD]]</f>
        <v>322.09043155564677</v>
      </c>
      <c r="T55">
        <f>+Tabla3[[#This Row],[IPC]]/Tabla3[[#This Row],[TRM año de cálculo $/USD]]</f>
        <v>4.3158478691400402E-2</v>
      </c>
      <c r="AF55" s="367">
        <f t="shared" si="0"/>
        <v>39845</v>
      </c>
      <c r="AG55" s="368">
        <v>39865</v>
      </c>
      <c r="AH55" s="369">
        <v>2588.31</v>
      </c>
    </row>
    <row r="56" spans="8:34">
      <c r="H56" s="365">
        <v>41395</v>
      </c>
      <c r="I56" s="373">
        <f>+AVERAGEIF(TRM_dia[MES],Tabla3[[#This Row],[Fecha]],TRM_dia[TRM])</f>
        <v>1847.9212903225805</v>
      </c>
      <c r="J56">
        <v>197.8</v>
      </c>
      <c r="K56">
        <v>79.209999999999994</v>
      </c>
      <c r="L56">
        <v>234.6</v>
      </c>
      <c r="M56">
        <v>121.6</v>
      </c>
      <c r="N56">
        <v>164.4</v>
      </c>
      <c r="O56">
        <v>247.7</v>
      </c>
      <c r="P56">
        <v>241.9</v>
      </c>
      <c r="Q56">
        <v>129.4</v>
      </c>
      <c r="R56">
        <v>199.1</v>
      </c>
      <c r="S56" s="373">
        <f>+INDEX(Tabla2[Salarios],MATCH(YEAR(Tabla3[[#This Row],[Fecha]]),Tabla2[año],0))/Tabla3[[#This Row],[TRM año de cálculo $/USD]]</f>
        <v>319.00709358518975</v>
      </c>
      <c r="T56">
        <f>+Tabla3[[#This Row],[IPC]]/Tabla3[[#This Row],[TRM año de cálculo $/USD]]</f>
        <v>4.2864379784364505E-2</v>
      </c>
      <c r="AF56" s="367">
        <f t="shared" si="0"/>
        <v>39845</v>
      </c>
      <c r="AG56" s="368">
        <v>39866</v>
      </c>
      <c r="AH56" s="369">
        <v>2588.31</v>
      </c>
    </row>
    <row r="57" spans="8:34">
      <c r="H57" s="365">
        <v>41426</v>
      </c>
      <c r="I57" s="373">
        <f>+AVERAGEIF(TRM_dia[MES],Tabla3[[#This Row],[Fecha]],TRM_dia[TRM])</f>
        <v>1909.8493333333331</v>
      </c>
      <c r="J57">
        <v>198.7</v>
      </c>
      <c r="K57">
        <v>79.39</v>
      </c>
      <c r="L57">
        <v>234.6</v>
      </c>
      <c r="M57">
        <v>121.6</v>
      </c>
      <c r="N57">
        <v>164.5</v>
      </c>
      <c r="O57">
        <v>247.7</v>
      </c>
      <c r="P57">
        <v>240.2</v>
      </c>
      <c r="Q57">
        <v>129.4</v>
      </c>
      <c r="R57">
        <v>199.8</v>
      </c>
      <c r="S57" s="373">
        <f>+INDEX(Tabla2[Salarios],MATCH(YEAR(Tabla3[[#This Row],[Fecha]]),Tabla2[año],0))/Tabla3[[#This Row],[TRM año de cálculo $/USD]]</f>
        <v>308.66309174824966</v>
      </c>
      <c r="T57">
        <f>+Tabla3[[#This Row],[IPC]]/Tabla3[[#This Row],[TRM año de cálculo $/USD]]</f>
        <v>4.1568724094815164E-2</v>
      </c>
      <c r="AF57" s="367">
        <f t="shared" si="0"/>
        <v>39845</v>
      </c>
      <c r="AG57" s="368">
        <v>39867</v>
      </c>
      <c r="AH57" s="369">
        <v>2588.31</v>
      </c>
    </row>
    <row r="58" spans="8:34">
      <c r="H58" s="365">
        <v>41456</v>
      </c>
      <c r="I58" s="373">
        <f>+AVERAGEIF(TRM_dia[MES],Tabla3[[#This Row],[Fecha]],TRM_dia[TRM])</f>
        <v>1901.5425806451615</v>
      </c>
      <c r="J58">
        <v>198</v>
      </c>
      <c r="K58">
        <v>79.430000000000007</v>
      </c>
      <c r="L58">
        <v>234.7</v>
      </c>
      <c r="M58">
        <v>123.3</v>
      </c>
      <c r="N58">
        <v>164.5</v>
      </c>
      <c r="O58">
        <v>247.8</v>
      </c>
      <c r="P58">
        <v>239.2</v>
      </c>
      <c r="Q58">
        <v>129.4</v>
      </c>
      <c r="R58">
        <v>200.9</v>
      </c>
      <c r="S58" s="373">
        <f>+INDEX(Tabla2[Salarios],MATCH(YEAR(Tabla3[[#This Row],[Fecha]]),Tabla2[año],0))/Tabla3[[#This Row],[TRM año de cálculo $/USD]]</f>
        <v>310.01146437646037</v>
      </c>
      <c r="T58">
        <f>+Tabla3[[#This Row],[IPC]]/Tabla3[[#This Row],[TRM año de cálculo $/USD]]</f>
        <v>4.1771349644482189E-2</v>
      </c>
      <c r="AF58" s="367">
        <f t="shared" si="0"/>
        <v>39845</v>
      </c>
      <c r="AG58" s="368">
        <v>39868</v>
      </c>
      <c r="AH58" s="369">
        <v>2572.3000000000002</v>
      </c>
    </row>
    <row r="59" spans="8:34">
      <c r="H59" s="365">
        <v>41487</v>
      </c>
      <c r="I59" s="373">
        <f>+AVERAGEIF(TRM_dia[MES],Tabla3[[#This Row],[Fecha]],TRM_dia[TRM])</f>
        <v>1902.1041935483875</v>
      </c>
      <c r="J59">
        <v>197.1</v>
      </c>
      <c r="K59">
        <v>79.5</v>
      </c>
      <c r="L59">
        <v>235.6</v>
      </c>
      <c r="M59">
        <v>123.3</v>
      </c>
      <c r="N59">
        <v>164.5</v>
      </c>
      <c r="O59">
        <v>248</v>
      </c>
      <c r="P59">
        <v>240.6</v>
      </c>
      <c r="Q59">
        <v>129.4</v>
      </c>
      <c r="R59">
        <v>201</v>
      </c>
      <c r="S59" s="373">
        <f>+INDEX(Tabla2[Salarios],MATCH(YEAR(Tabla3[[#This Row],[Fecha]]),Tabla2[año],0))/Tabla3[[#This Row],[TRM año de cálculo $/USD]]</f>
        <v>309.91993077954578</v>
      </c>
      <c r="T59">
        <f>+Tabla3[[#This Row],[IPC]]/Tabla3[[#This Row],[TRM año de cálculo $/USD]]</f>
        <v>4.1795817636936197E-2</v>
      </c>
      <c r="AF59" s="367">
        <f t="shared" si="0"/>
        <v>39845</v>
      </c>
      <c r="AG59" s="368">
        <v>39869</v>
      </c>
      <c r="AH59" s="369">
        <v>2596.37</v>
      </c>
    </row>
    <row r="60" spans="8:34">
      <c r="H60" s="365">
        <v>41518</v>
      </c>
      <c r="I60" s="373">
        <f>+AVERAGEIF(TRM_dia[MES],Tabla3[[#This Row],[Fecha]],TRM_dia[TRM])</f>
        <v>1919.5123333333338</v>
      </c>
      <c r="J60">
        <v>193.7</v>
      </c>
      <c r="K60">
        <v>79.73</v>
      </c>
      <c r="L60">
        <v>235.7</v>
      </c>
      <c r="M60">
        <v>123.3</v>
      </c>
      <c r="N60">
        <v>164.5</v>
      </c>
      <c r="O60">
        <v>248.7</v>
      </c>
      <c r="P60">
        <v>241.5</v>
      </c>
      <c r="Q60">
        <v>129.5</v>
      </c>
      <c r="R60">
        <v>200.9</v>
      </c>
      <c r="S60" s="373">
        <f>+INDEX(Tabla2[Salarios],MATCH(YEAR(Tabla3[[#This Row],[Fecha]]),Tabla2[año],0))/Tabla3[[#This Row],[TRM año de cálculo $/USD]]</f>
        <v>307.10925361771569</v>
      </c>
      <c r="T60">
        <f>+Tabla3[[#This Row],[IPC]]/Tabla3[[#This Row],[TRM año de cálculo $/USD]]</f>
        <v>4.1536591672502919E-2</v>
      </c>
      <c r="AF60" s="367">
        <f t="shared" si="0"/>
        <v>39845</v>
      </c>
      <c r="AG60" s="368">
        <v>39870</v>
      </c>
      <c r="AH60" s="369">
        <v>2575.5</v>
      </c>
    </row>
    <row r="61" spans="8:34">
      <c r="H61" s="365">
        <v>41548</v>
      </c>
      <c r="I61" s="373">
        <f>+AVERAGEIF(TRM_dia[MES],Tabla3[[#This Row],[Fecha]],TRM_dia[TRM])</f>
        <v>1885.1312903225801</v>
      </c>
      <c r="J61">
        <v>199.6</v>
      </c>
      <c r="K61">
        <v>79.52</v>
      </c>
      <c r="L61">
        <v>235.6</v>
      </c>
      <c r="M61">
        <v>123.4</v>
      </c>
      <c r="N61">
        <v>164.5</v>
      </c>
      <c r="O61">
        <v>248.7</v>
      </c>
      <c r="P61">
        <v>240.9</v>
      </c>
      <c r="Q61">
        <v>129.5</v>
      </c>
      <c r="R61">
        <v>201</v>
      </c>
      <c r="S61" s="373">
        <f>+INDEX(Tabla2[Salarios],MATCH(YEAR(Tabla3[[#This Row],[Fecha]]),Tabla2[año],0))/Tabla3[[#This Row],[TRM año de cálculo $/USD]]</f>
        <v>312.71031520522155</v>
      </c>
      <c r="T61">
        <f>+Tabla3[[#This Row],[IPC]]/Tabla3[[#This Row],[TRM año de cálculo $/USD]]</f>
        <v>4.2182738363221742E-2</v>
      </c>
      <c r="AF61" s="367">
        <f t="shared" si="0"/>
        <v>39845</v>
      </c>
      <c r="AG61" s="368">
        <v>39871</v>
      </c>
      <c r="AH61" s="369">
        <v>2555.0500000000002</v>
      </c>
    </row>
    <row r="62" spans="8:34">
      <c r="H62" s="365">
        <v>41579</v>
      </c>
      <c r="I62" s="373">
        <f>+AVERAGEIF(TRM_dia[MES],Tabla3[[#This Row],[Fecha]],TRM_dia[TRM])</f>
        <v>1921.7529999999997</v>
      </c>
      <c r="J62">
        <v>201.4</v>
      </c>
      <c r="K62">
        <v>79.349999999999994</v>
      </c>
      <c r="L62">
        <v>236.2</v>
      </c>
      <c r="M62">
        <v>122.9</v>
      </c>
      <c r="N62">
        <v>164.8</v>
      </c>
      <c r="O62">
        <v>248.7</v>
      </c>
      <c r="P62">
        <v>240.5</v>
      </c>
      <c r="Q62">
        <v>129.5</v>
      </c>
      <c r="R62">
        <v>201.1</v>
      </c>
      <c r="S62" s="373">
        <f>+INDEX(Tabla2[Salarios],MATCH(YEAR(Tabla3[[#This Row],[Fecha]]),Tabla2[año],0))/Tabla3[[#This Row],[TRM año de cálculo $/USD]]</f>
        <v>306.75117978220931</v>
      </c>
      <c r="T62">
        <f>+Tabla3[[#This Row],[IPC]]/Tabla3[[#This Row],[TRM año de cálculo $/USD]]</f>
        <v>4.1290425980862265E-2</v>
      </c>
      <c r="AF62" s="367">
        <f t="shared" si="0"/>
        <v>39845</v>
      </c>
      <c r="AG62" s="368">
        <v>39872</v>
      </c>
      <c r="AH62" s="369">
        <v>2555.89</v>
      </c>
    </row>
    <row r="63" spans="8:34">
      <c r="H63" s="365">
        <v>41609</v>
      </c>
      <c r="I63" s="373">
        <f>+AVERAGEIF(TRM_dia[MES],Tabla3[[#This Row],[Fecha]],TRM_dia[TRM])</f>
        <v>1932.9561290322579</v>
      </c>
      <c r="J63">
        <v>202.6</v>
      </c>
      <c r="K63">
        <v>79.56</v>
      </c>
      <c r="L63">
        <v>236.2</v>
      </c>
      <c r="M63">
        <v>122.9</v>
      </c>
      <c r="N63">
        <v>166.2</v>
      </c>
      <c r="O63">
        <v>248.7</v>
      </c>
      <c r="P63">
        <v>239.7</v>
      </c>
      <c r="Q63">
        <v>129.5</v>
      </c>
      <c r="R63">
        <v>201.1</v>
      </c>
      <c r="S63" s="373">
        <f>+INDEX(Tabla2[Salarios],MATCH(YEAR(Tabla3[[#This Row],[Fecha]]),Tabla2[año],0))/Tabla3[[#This Row],[TRM año de cálculo $/USD]]</f>
        <v>304.97329512343123</v>
      </c>
      <c r="T63">
        <f>+Tabla3[[#This Row],[IPC]]/Tabla3[[#This Row],[TRM año de cálculo $/USD]]</f>
        <v>4.1159754639559266E-2</v>
      </c>
      <c r="AF63" s="367">
        <f t="shared" si="0"/>
        <v>39873</v>
      </c>
      <c r="AG63" s="368">
        <v>39873</v>
      </c>
      <c r="AH63" s="369">
        <v>2555.89</v>
      </c>
    </row>
    <row r="64" spans="8:34">
      <c r="H64" s="365">
        <v>41640</v>
      </c>
      <c r="I64" s="373">
        <f>+AVERAGEIF(TRM_dia[MES],Tabla3[[#This Row],[Fecha]],TRM_dia[TRM])</f>
        <v>1957.2870967741942</v>
      </c>
      <c r="J64">
        <v>204.1</v>
      </c>
      <c r="K64">
        <v>79.95</v>
      </c>
      <c r="L64">
        <v>238.7</v>
      </c>
      <c r="M64">
        <v>125.2</v>
      </c>
      <c r="N64">
        <v>167.4</v>
      </c>
      <c r="O64">
        <v>249.4</v>
      </c>
      <c r="P64">
        <v>240.1</v>
      </c>
      <c r="Q64">
        <v>130.30000000000001</v>
      </c>
      <c r="R64">
        <v>201.6</v>
      </c>
      <c r="S64" s="373">
        <f>+INDEX(Tabla2[Salarios],MATCH(YEAR(Tabla3[[#This Row],[Fecha]]),Tabla2[año],0))/Tabla3[[#This Row],[TRM año de cálculo $/USD]]</f>
        <v>314.7213308743668</v>
      </c>
      <c r="T64">
        <f>+Tabla3[[#This Row],[IPC]]/Tabla3[[#This Row],[TRM año de cálculo $/USD]]</f>
        <v>4.0847354550983164E-2</v>
      </c>
      <c r="AF64" s="367">
        <f t="shared" si="0"/>
        <v>39873</v>
      </c>
      <c r="AG64" s="368">
        <v>39874</v>
      </c>
      <c r="AH64" s="369">
        <v>2555.89</v>
      </c>
    </row>
    <row r="65" spans="8:34">
      <c r="H65" s="365">
        <v>41671</v>
      </c>
      <c r="I65" s="373">
        <f>+AVERAGEIF(TRM_dia[MES],Tabla3[[#This Row],[Fecha]],TRM_dia[TRM])</f>
        <v>2038.4925000000001</v>
      </c>
      <c r="J65">
        <v>204.2</v>
      </c>
      <c r="K65">
        <v>80.45</v>
      </c>
      <c r="L65">
        <v>239.4</v>
      </c>
      <c r="M65">
        <v>125.2</v>
      </c>
      <c r="N65">
        <v>167.6</v>
      </c>
      <c r="O65">
        <v>249.7</v>
      </c>
      <c r="P65">
        <v>240.4</v>
      </c>
      <c r="Q65">
        <v>130.19999999999999</v>
      </c>
      <c r="R65">
        <v>201.6</v>
      </c>
      <c r="S65" s="373">
        <f>+INDEX(Tabla2[Salarios],MATCH(YEAR(Tabla3[[#This Row],[Fecha]]),Tabla2[año],0))/Tabla3[[#This Row],[TRM año de cálculo $/USD]]</f>
        <v>302.18408946807506</v>
      </c>
      <c r="T65">
        <f>+Tabla3[[#This Row],[IPC]]/Tabla3[[#This Row],[TRM año de cálculo $/USD]]</f>
        <v>3.9465438307965325E-2</v>
      </c>
      <c r="AF65" s="367">
        <f t="shared" si="0"/>
        <v>39873</v>
      </c>
      <c r="AG65" s="368">
        <v>39875</v>
      </c>
      <c r="AH65" s="369">
        <v>2590.9699999999998</v>
      </c>
    </row>
    <row r="66" spans="8:34">
      <c r="H66" s="365">
        <v>41699</v>
      </c>
      <c r="I66" s="373">
        <f>+AVERAGEIF(TRM_dia[MES],Tabla3[[#This Row],[Fecha]],TRM_dia[TRM])</f>
        <v>2019.7132258064514</v>
      </c>
      <c r="J66">
        <v>203.3</v>
      </c>
      <c r="K66">
        <v>80.77</v>
      </c>
      <c r="L66">
        <v>239.4</v>
      </c>
      <c r="M66">
        <v>126.3</v>
      </c>
      <c r="N66">
        <v>167.6</v>
      </c>
      <c r="O66">
        <v>249.9</v>
      </c>
      <c r="P66">
        <v>241.6</v>
      </c>
      <c r="Q66">
        <v>130.30000000000001</v>
      </c>
      <c r="R66">
        <v>202.2</v>
      </c>
      <c r="S66" s="373">
        <f>+INDEX(Tabla2[Salarios],MATCH(YEAR(Tabla3[[#This Row],[Fecha]]),Tabla2[año],0))/Tabla3[[#This Row],[TRM año de cálculo $/USD]]</f>
        <v>304.99379423236547</v>
      </c>
      <c r="T66">
        <f>+Tabla3[[#This Row],[IPC]]/Tabla3[[#This Row],[TRM año de cálculo $/USD]]</f>
        <v>3.999082590933143E-2</v>
      </c>
      <c r="AF66" s="367">
        <f t="shared" si="0"/>
        <v>39873</v>
      </c>
      <c r="AG66" s="368">
        <v>39876</v>
      </c>
      <c r="AH66" s="369">
        <v>2588.96</v>
      </c>
    </row>
    <row r="67" spans="8:34">
      <c r="H67" s="365">
        <v>41730</v>
      </c>
      <c r="I67" s="373">
        <f>+AVERAGEIF(TRM_dia[MES],Tabla3[[#This Row],[Fecha]],TRM_dia[TRM])</f>
        <v>1938.360333333334</v>
      </c>
      <c r="J67">
        <v>205.1</v>
      </c>
      <c r="K67">
        <v>81.14</v>
      </c>
      <c r="L67">
        <v>239.6</v>
      </c>
      <c r="M67">
        <v>126.3</v>
      </c>
      <c r="N67">
        <v>167.6</v>
      </c>
      <c r="O67">
        <v>249.9</v>
      </c>
      <c r="P67">
        <v>241.1</v>
      </c>
      <c r="Q67">
        <v>130.9</v>
      </c>
      <c r="R67">
        <v>202.4</v>
      </c>
      <c r="S67" s="373">
        <f>+INDEX(Tabla2[Salarios],MATCH(YEAR(Tabla3[[#This Row],[Fecha]]),Tabla2[año],0))/Tabla3[[#This Row],[TRM año de cálculo $/USD]]</f>
        <v>317.79436950233355</v>
      </c>
      <c r="T67">
        <f>+Tabla3[[#This Row],[IPC]]/Tabla3[[#This Row],[TRM año de cálculo $/USD]]</f>
        <v>4.1860121982823614E-2</v>
      </c>
      <c r="AF67" s="367">
        <f t="shared" si="0"/>
        <v>39873</v>
      </c>
      <c r="AG67" s="368">
        <v>39877</v>
      </c>
      <c r="AH67" s="369">
        <v>2589.48</v>
      </c>
    </row>
    <row r="68" spans="8:34">
      <c r="H68" s="365">
        <v>41760</v>
      </c>
      <c r="I68" s="373">
        <f>+AVERAGEIF(TRM_dia[MES],Tabla3[[#This Row],[Fecha]],TRM_dia[TRM])</f>
        <v>1915.3609677419356</v>
      </c>
      <c r="J68">
        <v>205.8</v>
      </c>
      <c r="K68">
        <v>81.53</v>
      </c>
      <c r="L68">
        <v>239.5</v>
      </c>
      <c r="M68">
        <v>126.3</v>
      </c>
      <c r="N68">
        <v>167.6</v>
      </c>
      <c r="O68">
        <v>250.2</v>
      </c>
      <c r="P68">
        <v>241.6</v>
      </c>
      <c r="Q68">
        <v>132.6</v>
      </c>
      <c r="R68">
        <v>202.5</v>
      </c>
      <c r="S68" s="373">
        <f>+INDEX(Tabla2[Salarios],MATCH(YEAR(Tabla3[[#This Row],[Fecha]]),Tabla2[año],0))/Tabla3[[#This Row],[TRM año de cálculo $/USD]]</f>
        <v>321.61039635584564</v>
      </c>
      <c r="T68">
        <f>+Tabla3[[#This Row],[IPC]]/Tabla3[[#This Row],[TRM año de cálculo $/USD]]</f>
        <v>4.2566388985214441E-2</v>
      </c>
      <c r="AF68" s="367">
        <f t="shared" ref="AF68:AF131" si="1">+DATE(YEAR(AG68),MONTH(AG68),1)</f>
        <v>39873</v>
      </c>
      <c r="AG68" s="368">
        <v>39878</v>
      </c>
      <c r="AH68" s="369">
        <v>2572.92</v>
      </c>
    </row>
    <row r="69" spans="8:34">
      <c r="H69" s="365">
        <v>41791</v>
      </c>
      <c r="I69" s="373">
        <f>+AVERAGEIF(TRM_dia[MES],Tabla3[[#This Row],[Fecha]],TRM_dia[TRM])</f>
        <v>1887.0393333333332</v>
      </c>
      <c r="J69">
        <v>206.4</v>
      </c>
      <c r="K69">
        <v>81.61</v>
      </c>
      <c r="L69">
        <v>239.4</v>
      </c>
      <c r="M69">
        <v>126.3</v>
      </c>
      <c r="N69">
        <v>168.4</v>
      </c>
      <c r="O69">
        <v>250.2</v>
      </c>
      <c r="P69">
        <v>241.5</v>
      </c>
      <c r="Q69">
        <v>132.6</v>
      </c>
      <c r="R69">
        <v>202.4</v>
      </c>
      <c r="S69" s="373">
        <f>+INDEX(Tabla2[Salarios],MATCH(YEAR(Tabla3[[#This Row],[Fecha]]),Tabla2[año],0))/Tabla3[[#This Row],[TRM año de cálculo $/USD]]</f>
        <v>326.4372867691506</v>
      </c>
      <c r="T69">
        <f>+Tabla3[[#This Row],[IPC]]/Tabla3[[#This Row],[TRM año de cálculo $/USD]]</f>
        <v>4.3247641190309057E-2</v>
      </c>
      <c r="AF69" s="367">
        <f t="shared" si="1"/>
        <v>39873</v>
      </c>
      <c r="AG69" s="368">
        <v>39879</v>
      </c>
      <c r="AH69" s="369">
        <v>2548.5700000000002</v>
      </c>
    </row>
    <row r="70" spans="8:34">
      <c r="H70" s="365">
        <v>41821</v>
      </c>
      <c r="I70" s="373">
        <f>+AVERAGEIF(TRM_dia[MES],Tabla3[[#This Row],[Fecha]],TRM_dia[TRM])</f>
        <v>1857.6441935483874</v>
      </c>
      <c r="J70">
        <v>208.5</v>
      </c>
      <c r="K70">
        <v>81.73</v>
      </c>
      <c r="L70">
        <v>239.4</v>
      </c>
      <c r="M70">
        <v>126.2</v>
      </c>
      <c r="N70">
        <v>169.2</v>
      </c>
      <c r="O70">
        <v>250.3</v>
      </c>
      <c r="P70">
        <v>242.7</v>
      </c>
      <c r="Q70">
        <v>132.6</v>
      </c>
      <c r="R70">
        <v>202.9</v>
      </c>
      <c r="S70" s="373">
        <f>+INDEX(Tabla2[Salarios],MATCH(YEAR(Tabla3[[#This Row],[Fecha]]),Tabla2[año],0))/Tabla3[[#This Row],[TRM año de cálculo $/USD]]</f>
        <v>331.60279139534509</v>
      </c>
      <c r="T70">
        <f>+Tabla3[[#This Row],[IPC]]/Tabla3[[#This Row],[TRM año de cálculo $/USD]]</f>
        <v>4.399658464406097E-2</v>
      </c>
      <c r="AF70" s="367">
        <f t="shared" si="1"/>
        <v>39873</v>
      </c>
      <c r="AG70" s="368">
        <v>39880</v>
      </c>
      <c r="AH70" s="369">
        <v>2548.5700000000002</v>
      </c>
    </row>
    <row r="71" spans="8:34">
      <c r="H71" s="365">
        <v>41852</v>
      </c>
      <c r="I71" s="373">
        <f>+AVERAGEIF(TRM_dia[MES],Tabla3[[#This Row],[Fecha]],TRM_dia[TRM])</f>
        <v>1898.1251612903227</v>
      </c>
      <c r="J71">
        <v>208.4</v>
      </c>
      <c r="K71">
        <v>81.900000000000006</v>
      </c>
      <c r="L71">
        <v>239.5</v>
      </c>
      <c r="M71">
        <v>126.2</v>
      </c>
      <c r="N71">
        <v>169.1</v>
      </c>
      <c r="O71">
        <v>249.8</v>
      </c>
      <c r="P71">
        <v>243</v>
      </c>
      <c r="Q71">
        <v>132.80000000000001</v>
      </c>
      <c r="R71">
        <v>202.9</v>
      </c>
      <c r="S71" s="373">
        <f>+INDEX(Tabla2[Salarios],MATCH(YEAR(Tabla3[[#This Row],[Fecha]]),Tabla2[año],0))/Tabla3[[#This Row],[TRM año de cálculo $/USD]]</f>
        <v>324.53075938430243</v>
      </c>
      <c r="T71">
        <f>+Tabla3[[#This Row],[IPC]]/Tabla3[[#This Row],[TRM año de cálculo $/USD]]</f>
        <v>4.3147839599958396E-2</v>
      </c>
      <c r="AF71" s="367">
        <f t="shared" si="1"/>
        <v>39873</v>
      </c>
      <c r="AG71" s="368">
        <v>39881</v>
      </c>
      <c r="AH71" s="369">
        <v>2548.5700000000002</v>
      </c>
    </row>
    <row r="72" spans="8:34">
      <c r="H72" s="365">
        <v>41883</v>
      </c>
      <c r="I72" s="373">
        <f>+AVERAGEIF(TRM_dia[MES],Tabla3[[#This Row],[Fecha]],TRM_dia[TRM])</f>
        <v>1973.7166666666672</v>
      </c>
      <c r="J72">
        <v>209.6</v>
      </c>
      <c r="K72">
        <v>82.01</v>
      </c>
      <c r="L72">
        <v>239.5</v>
      </c>
      <c r="M72">
        <v>126.2</v>
      </c>
      <c r="N72">
        <v>169.2</v>
      </c>
      <c r="O72">
        <v>249.7</v>
      </c>
      <c r="P72">
        <v>242.2</v>
      </c>
      <c r="Q72">
        <v>133</v>
      </c>
      <c r="R72">
        <v>203.5</v>
      </c>
      <c r="S72" s="373">
        <f>+INDEX(Tabla2[Salarios],MATCH(YEAR(Tabla3[[#This Row],[Fecha]]),Tabla2[año],0))/Tabla3[[#This Row],[TRM año de cálculo $/USD]]</f>
        <v>312.10153433032428</v>
      </c>
      <c r="T72">
        <f>+Tabla3[[#This Row],[IPC]]/Tabla3[[#This Row],[TRM año de cálculo $/USD]]</f>
        <v>4.1551050049399178E-2</v>
      </c>
      <c r="AF72" s="367">
        <f t="shared" si="1"/>
        <v>39873</v>
      </c>
      <c r="AG72" s="368">
        <v>39882</v>
      </c>
      <c r="AH72" s="369">
        <v>2559.36</v>
      </c>
    </row>
    <row r="73" spans="8:34">
      <c r="H73" s="365">
        <v>41913</v>
      </c>
      <c r="I73" s="373">
        <f>+AVERAGEIF(TRM_dia[MES],Tabla3[[#This Row],[Fecha]],TRM_dia[TRM])</f>
        <v>2048.5674193548384</v>
      </c>
      <c r="J73">
        <v>209.8</v>
      </c>
      <c r="K73">
        <v>82.14</v>
      </c>
      <c r="L73">
        <v>239.9</v>
      </c>
      <c r="M73">
        <v>126.2</v>
      </c>
      <c r="N73">
        <v>169.5</v>
      </c>
      <c r="O73">
        <v>250.1</v>
      </c>
      <c r="P73">
        <v>241.4</v>
      </c>
      <c r="Q73">
        <v>132.9</v>
      </c>
      <c r="R73">
        <v>203.5</v>
      </c>
      <c r="S73" s="373">
        <f>+INDEX(Tabla2[Salarios],MATCH(YEAR(Tabla3[[#This Row],[Fecha]]),Tabla2[año],0))/Tabla3[[#This Row],[TRM año de cálculo $/USD]]</f>
        <v>300.69793855942447</v>
      </c>
      <c r="T73">
        <f>+Tabla3[[#This Row],[IPC]]/Tabla3[[#This Row],[TRM año de cálculo $/USD]]</f>
        <v>4.0096312781284296E-2</v>
      </c>
      <c r="AF73" s="367">
        <f t="shared" si="1"/>
        <v>39873</v>
      </c>
      <c r="AG73" s="368">
        <v>39883</v>
      </c>
      <c r="AH73" s="369">
        <v>2525.06</v>
      </c>
    </row>
    <row r="74" spans="8:34">
      <c r="H74" s="365">
        <v>41944</v>
      </c>
      <c r="I74" s="373">
        <f>+AVERAGEIF(TRM_dia[MES],Tabla3[[#This Row],[Fecha]],TRM_dia[TRM])</f>
        <v>2128.6836666666668</v>
      </c>
      <c r="J74">
        <v>209</v>
      </c>
      <c r="K74">
        <v>82.25</v>
      </c>
      <c r="L74">
        <v>240.3</v>
      </c>
      <c r="M74">
        <v>126.2</v>
      </c>
      <c r="N74">
        <v>169.5</v>
      </c>
      <c r="O74">
        <v>250.8</v>
      </c>
      <c r="P74">
        <v>240</v>
      </c>
      <c r="Q74">
        <v>133</v>
      </c>
      <c r="R74">
        <v>203.4</v>
      </c>
      <c r="S74" s="373">
        <f>+INDEX(Tabla2[Salarios],MATCH(YEAR(Tabla3[[#This Row],[Fecha]]),Tabla2[año],0))/Tabla3[[#This Row],[TRM año de cálculo $/USD]]</f>
        <v>289.38071430998593</v>
      </c>
      <c r="T74">
        <f>+Tabla3[[#This Row],[IPC]]/Tabla3[[#This Row],[TRM año de cálculo $/USD]]</f>
        <v>3.8638902194799256E-2</v>
      </c>
      <c r="AF74" s="367">
        <f t="shared" si="1"/>
        <v>39873</v>
      </c>
      <c r="AG74" s="368">
        <v>39884</v>
      </c>
      <c r="AH74" s="369">
        <v>2506.73</v>
      </c>
    </row>
    <row r="75" spans="8:34">
      <c r="H75" s="365">
        <v>41974</v>
      </c>
      <c r="I75" s="373">
        <f>+AVERAGEIF(TRM_dia[MES],Tabla3[[#This Row],[Fecha]],TRM_dia[TRM])</f>
        <v>2342.2535483870975</v>
      </c>
      <c r="J75">
        <v>207</v>
      </c>
      <c r="K75">
        <v>82.47</v>
      </c>
      <c r="L75">
        <v>240.4</v>
      </c>
      <c r="M75">
        <v>126.2</v>
      </c>
      <c r="N75">
        <v>172.3</v>
      </c>
      <c r="O75">
        <v>251</v>
      </c>
      <c r="P75">
        <v>239.3</v>
      </c>
      <c r="Q75">
        <v>132.9</v>
      </c>
      <c r="R75">
        <v>203.5</v>
      </c>
      <c r="S75" s="373">
        <f>+INDEX(Tabla2[Salarios],MATCH(YEAR(Tabla3[[#This Row],[Fecha]]),Tabla2[año],0))/Tabla3[[#This Row],[TRM año de cálculo $/USD]]</f>
        <v>262.99458503294176</v>
      </c>
      <c r="T75">
        <f>+Tabla3[[#This Row],[IPC]]/Tabla3[[#This Row],[TRM año de cálculo $/USD]]</f>
        <v>3.5209680889069325E-2</v>
      </c>
      <c r="AF75" s="367">
        <f t="shared" si="1"/>
        <v>39873</v>
      </c>
      <c r="AG75" s="368">
        <v>39885</v>
      </c>
      <c r="AH75" s="369">
        <v>2481.2600000000002</v>
      </c>
    </row>
    <row r="76" spans="8:34">
      <c r="H76" s="365">
        <v>42005</v>
      </c>
      <c r="I76" s="373">
        <f>+AVERAGEIF(TRM_dia[MES],Tabla3[[#This Row],[Fecha]],TRM_dia[TRM])</f>
        <v>2397.2580645161297</v>
      </c>
      <c r="J76">
        <v>202.1</v>
      </c>
      <c r="K76">
        <v>83</v>
      </c>
      <c r="L76">
        <v>243</v>
      </c>
      <c r="M76">
        <v>128</v>
      </c>
      <c r="N76">
        <v>172.6</v>
      </c>
      <c r="O76">
        <v>250.2</v>
      </c>
      <c r="P76">
        <v>237.2</v>
      </c>
      <c r="Q76">
        <v>133.9</v>
      </c>
      <c r="R76">
        <v>205</v>
      </c>
      <c r="S76" s="373">
        <f>+INDEX(Tabla2[Salarios],MATCH(YEAR(Tabla3[[#This Row],[Fecha]]),Tabla2[año],0))/Tabla3[[#This Row],[TRM año de cálculo $/USD]]</f>
        <v>268.78624772926048</v>
      </c>
      <c r="T76">
        <f>+Tabla3[[#This Row],[IPC]]/Tabla3[[#This Row],[TRM año de cálculo $/USD]]</f>
        <v>3.4622889053353957E-2</v>
      </c>
      <c r="AF76" s="367">
        <f t="shared" si="1"/>
        <v>39873</v>
      </c>
      <c r="AG76" s="368">
        <v>39886</v>
      </c>
      <c r="AH76" s="369">
        <v>2445.3000000000002</v>
      </c>
    </row>
    <row r="77" spans="8:34">
      <c r="H77" s="365">
        <v>42036</v>
      </c>
      <c r="I77" s="373">
        <f>+AVERAGEIF(TRM_dia[MES],Tabla3[[#This Row],[Fecha]],TRM_dia[TRM])</f>
        <v>2420.672500000001</v>
      </c>
      <c r="J77">
        <v>194.9</v>
      </c>
      <c r="K77">
        <v>83.96</v>
      </c>
      <c r="L77">
        <v>243.3</v>
      </c>
      <c r="M77">
        <v>128</v>
      </c>
      <c r="N77">
        <v>172.6</v>
      </c>
      <c r="O77">
        <v>250.2</v>
      </c>
      <c r="P77">
        <v>234.9</v>
      </c>
      <c r="Q77">
        <v>134.1</v>
      </c>
      <c r="R77">
        <v>205.4</v>
      </c>
      <c r="S77" s="373">
        <f>+INDEX(Tabla2[Salarios],MATCH(YEAR(Tabla3[[#This Row],[Fecha]]),Tabla2[año],0))/Tabla3[[#This Row],[TRM año de cálculo $/USD]]</f>
        <v>266.18635936914217</v>
      </c>
      <c r="T77">
        <f>+Tabla3[[#This Row],[IPC]]/Tabla3[[#This Row],[TRM año de cálculo $/USD]]</f>
        <v>3.4684576290266424E-2</v>
      </c>
      <c r="AF77" s="367">
        <f t="shared" si="1"/>
        <v>39873</v>
      </c>
      <c r="AG77" s="368">
        <v>39887</v>
      </c>
      <c r="AH77" s="369">
        <v>2445.3000000000002</v>
      </c>
    </row>
    <row r="78" spans="8:34">
      <c r="H78" s="365">
        <v>42064</v>
      </c>
      <c r="I78" s="373">
        <f>+AVERAGEIF(TRM_dia[MES],Tabla3[[#This Row],[Fecha]],TRM_dia[TRM])</f>
        <v>2585.3622580645165</v>
      </c>
      <c r="J78">
        <v>193.5</v>
      </c>
      <c r="K78">
        <v>84.45</v>
      </c>
      <c r="L78">
        <v>243.3</v>
      </c>
      <c r="M78">
        <v>128</v>
      </c>
      <c r="N78">
        <v>172.6</v>
      </c>
      <c r="O78">
        <v>250.2</v>
      </c>
      <c r="P78">
        <v>234.3</v>
      </c>
      <c r="Q78">
        <v>133.80000000000001</v>
      </c>
      <c r="R78">
        <v>205.4</v>
      </c>
      <c r="S78" s="373">
        <f>+INDEX(Tabla2[Salarios],MATCH(YEAR(Tabla3[[#This Row],[Fecha]]),Tabla2[año],0))/Tabla3[[#This Row],[TRM año de cálculo $/USD]]</f>
        <v>249.23006359750167</v>
      </c>
      <c r="T78">
        <f>+Tabla3[[#This Row],[IPC]]/Tabla3[[#This Row],[TRM año de cálculo $/USD]]</f>
        <v>3.266466806985182E-2</v>
      </c>
      <c r="AF78" s="367">
        <f t="shared" si="1"/>
        <v>39873</v>
      </c>
      <c r="AG78" s="368">
        <v>39888</v>
      </c>
      <c r="AH78" s="369">
        <v>2445.3000000000002</v>
      </c>
    </row>
    <row r="79" spans="8:34">
      <c r="H79" s="365">
        <v>42095</v>
      </c>
      <c r="I79" s="373">
        <f>+AVERAGEIF(TRM_dia[MES],Tabla3[[#This Row],[Fecha]],TRM_dia[TRM])</f>
        <v>2505.248</v>
      </c>
      <c r="J79">
        <v>189.8</v>
      </c>
      <c r="K79">
        <v>84.9</v>
      </c>
      <c r="L79">
        <v>244.1</v>
      </c>
      <c r="M79">
        <v>128</v>
      </c>
      <c r="N79">
        <v>172.7</v>
      </c>
      <c r="O79">
        <v>249.8</v>
      </c>
      <c r="P79">
        <v>231.1</v>
      </c>
      <c r="Q79">
        <v>134.1</v>
      </c>
      <c r="R79">
        <v>205.3</v>
      </c>
      <c r="S79" s="373">
        <f>+INDEX(Tabla2[Salarios],MATCH(YEAR(Tabla3[[#This Row],[Fecha]]),Tabla2[año],0))/Tabla3[[#This Row],[TRM año de cálculo $/USD]]</f>
        <v>257.20008558034971</v>
      </c>
      <c r="T79">
        <f>+Tabla3[[#This Row],[IPC]]/Tabla3[[#This Row],[TRM año de cálculo $/USD]]</f>
        <v>3.3888860504029943E-2</v>
      </c>
      <c r="AF79" s="367">
        <f t="shared" si="1"/>
        <v>39873</v>
      </c>
      <c r="AG79" s="368">
        <v>39889</v>
      </c>
      <c r="AH79" s="369">
        <v>2390.96</v>
      </c>
    </row>
    <row r="80" spans="8:34">
      <c r="H80" s="365">
        <v>42125</v>
      </c>
      <c r="I80" s="373">
        <f>+AVERAGEIF(TRM_dia[MES],Tabla3[[#This Row],[Fecha]],TRM_dia[TRM])</f>
        <v>2437.5351612903223</v>
      </c>
      <c r="J80">
        <v>187.3</v>
      </c>
      <c r="K80">
        <v>85.12</v>
      </c>
      <c r="L80">
        <v>244.1</v>
      </c>
      <c r="M80">
        <v>126.6</v>
      </c>
      <c r="N80">
        <v>172.9</v>
      </c>
      <c r="O80">
        <v>250.3</v>
      </c>
      <c r="P80">
        <v>231.8</v>
      </c>
      <c r="Q80">
        <v>134</v>
      </c>
      <c r="R80">
        <v>205.4</v>
      </c>
      <c r="S80" s="373">
        <f>+INDEX(Tabla2[Salarios],MATCH(YEAR(Tabla3[[#This Row],[Fecha]]),Tabla2[año],0))/Tabla3[[#This Row],[TRM año de cálculo $/USD]]</f>
        <v>264.34490473520384</v>
      </c>
      <c r="T80">
        <f>+Tabla3[[#This Row],[IPC]]/Tabla3[[#This Row],[TRM año de cálculo $/USD]]</f>
        <v>3.4920521907442464E-2</v>
      </c>
      <c r="AF80" s="367">
        <f t="shared" si="1"/>
        <v>39873</v>
      </c>
      <c r="AG80" s="368">
        <v>39890</v>
      </c>
      <c r="AH80" s="369">
        <v>2390.98</v>
      </c>
    </row>
    <row r="81" spans="8:34">
      <c r="H81" s="365">
        <v>42156</v>
      </c>
      <c r="I81" s="373">
        <f>+AVERAGEIF(TRM_dia[MES],Tabla3[[#This Row],[Fecha]],TRM_dia[TRM])</f>
        <v>2562.4776666666667</v>
      </c>
      <c r="J81">
        <v>187</v>
      </c>
      <c r="K81">
        <v>85.21</v>
      </c>
      <c r="L81">
        <v>244.1</v>
      </c>
      <c r="M81">
        <v>126.6</v>
      </c>
      <c r="N81">
        <v>173</v>
      </c>
      <c r="O81">
        <v>250.3</v>
      </c>
      <c r="P81">
        <v>231.3</v>
      </c>
      <c r="Q81">
        <v>133.6</v>
      </c>
      <c r="R81">
        <v>205.4</v>
      </c>
      <c r="S81" s="373">
        <f>+INDEX(Tabla2[Salarios],MATCH(YEAR(Tabla3[[#This Row],[Fecha]]),Tabla2[año],0))/Tabla3[[#This Row],[TRM año de cálculo $/USD]]</f>
        <v>251.45585008675849</v>
      </c>
      <c r="T81">
        <f>+Tabla3[[#This Row],[IPC]]/Tabla3[[#This Row],[TRM año de cálculo $/USD]]</f>
        <v>3.325297274135592E-2</v>
      </c>
      <c r="AF81" s="367">
        <f t="shared" si="1"/>
        <v>39873</v>
      </c>
      <c r="AG81" s="368">
        <v>39891</v>
      </c>
      <c r="AH81" s="369">
        <v>2383.15</v>
      </c>
    </row>
    <row r="82" spans="8:34">
      <c r="H82" s="365">
        <v>42186</v>
      </c>
      <c r="I82" s="373">
        <f>+AVERAGEIF(TRM_dia[MES],Tabla3[[#This Row],[Fecha]],TRM_dia[TRM])</f>
        <v>2732.0358064516136</v>
      </c>
      <c r="J82">
        <v>186.3</v>
      </c>
      <c r="K82">
        <v>85.37</v>
      </c>
      <c r="L82">
        <v>244.2</v>
      </c>
      <c r="M82">
        <v>126.6</v>
      </c>
      <c r="N82">
        <v>173.1</v>
      </c>
      <c r="O82">
        <v>250.3</v>
      </c>
      <c r="P82">
        <v>230.9</v>
      </c>
      <c r="Q82">
        <v>133.6</v>
      </c>
      <c r="R82">
        <v>205.6</v>
      </c>
      <c r="S82" s="373">
        <f>+INDEX(Tabla2[Salarios],MATCH(YEAR(Tabla3[[#This Row],[Fecha]]),Tabla2[año],0))/Tabla3[[#This Row],[TRM año de cálculo $/USD]]</f>
        <v>235.84976393002921</v>
      </c>
      <c r="T82">
        <f>+Tabla3[[#This Row],[IPC]]/Tabla3[[#This Row],[TRM año de cálculo $/USD]]</f>
        <v>3.1247760295967399E-2</v>
      </c>
      <c r="AF82" s="367">
        <f t="shared" si="1"/>
        <v>39873</v>
      </c>
      <c r="AG82" s="368">
        <v>39892</v>
      </c>
      <c r="AH82" s="369">
        <v>2335.29</v>
      </c>
    </row>
    <row r="83" spans="8:34">
      <c r="H83" s="365">
        <v>42217</v>
      </c>
      <c r="I83" s="373">
        <f>+AVERAGEIF(TRM_dia[MES],Tabla3[[#This Row],[Fecha]],TRM_dia[TRM])</f>
        <v>3012.5874193548398</v>
      </c>
      <c r="J83">
        <v>184.8</v>
      </c>
      <c r="K83">
        <v>85.78</v>
      </c>
      <c r="L83">
        <v>244.2</v>
      </c>
      <c r="M83">
        <v>127.4</v>
      </c>
      <c r="N83">
        <v>173.1</v>
      </c>
      <c r="O83">
        <v>250.2</v>
      </c>
      <c r="P83">
        <v>230.1</v>
      </c>
      <c r="Q83">
        <v>133.6</v>
      </c>
      <c r="R83">
        <v>205.9</v>
      </c>
      <c r="S83" s="373">
        <f>+INDEX(Tabla2[Salarios],MATCH(YEAR(Tabla3[[#This Row],[Fecha]]),Tabla2[año],0))/Tabla3[[#This Row],[TRM año de cálculo $/USD]]</f>
        <v>213.88590945453484</v>
      </c>
      <c r="T83">
        <f>+Tabla3[[#This Row],[IPC]]/Tabla3[[#This Row],[TRM año de cálculo $/USD]]</f>
        <v>2.8473862517280978E-2</v>
      </c>
      <c r="AF83" s="367">
        <f t="shared" si="1"/>
        <v>39873</v>
      </c>
      <c r="AG83" s="368">
        <v>39893</v>
      </c>
      <c r="AH83" s="369">
        <v>2340.83</v>
      </c>
    </row>
    <row r="84" spans="8:34">
      <c r="H84" s="365">
        <v>42248</v>
      </c>
      <c r="I84" s="373">
        <f>+AVERAGEIF(TRM_dia[MES],Tabla3[[#This Row],[Fecha]],TRM_dia[TRM])</f>
        <v>3066.4080000000004</v>
      </c>
      <c r="J84">
        <v>181.5</v>
      </c>
      <c r="K84">
        <v>86.39</v>
      </c>
      <c r="L84">
        <v>244.2</v>
      </c>
      <c r="M84">
        <v>127.3</v>
      </c>
      <c r="N84">
        <v>173.1</v>
      </c>
      <c r="O84">
        <v>250.7</v>
      </c>
      <c r="P84">
        <v>228.2</v>
      </c>
      <c r="Q84">
        <v>133.69999999999999</v>
      </c>
      <c r="R84">
        <v>206.3</v>
      </c>
      <c r="S84" s="373">
        <f>+INDEX(Tabla2[Salarios],MATCH(YEAR(Tabla3[[#This Row],[Fecha]]),Tabla2[año],0))/Tabla3[[#This Row],[TRM año de cálculo $/USD]]</f>
        <v>210.1318545999097</v>
      </c>
      <c r="T84">
        <f>+Tabla3[[#This Row],[IPC]]/Tabla3[[#This Row],[TRM año de cálculo $/USD]]</f>
        <v>2.8173028507621944E-2</v>
      </c>
      <c r="AF84" s="367">
        <f t="shared" si="1"/>
        <v>39873</v>
      </c>
      <c r="AG84" s="368">
        <v>39894</v>
      </c>
      <c r="AH84" s="369">
        <v>2340.83</v>
      </c>
    </row>
    <row r="85" spans="8:34">
      <c r="H85" s="365">
        <v>42278</v>
      </c>
      <c r="I85" s="373">
        <f>+AVERAGEIF(TRM_dia[MES],Tabla3[[#This Row],[Fecha]],TRM_dia[TRM])</f>
        <v>2929.4722580645166</v>
      </c>
      <c r="J85">
        <v>178.1</v>
      </c>
      <c r="K85">
        <v>86.98</v>
      </c>
      <c r="L85">
        <v>244.2</v>
      </c>
      <c r="M85">
        <v>127.3</v>
      </c>
      <c r="N85">
        <v>173.3</v>
      </c>
      <c r="O85">
        <v>250.7</v>
      </c>
      <c r="P85">
        <v>225.4</v>
      </c>
      <c r="Q85">
        <v>133.80000000000001</v>
      </c>
      <c r="R85">
        <v>206.2</v>
      </c>
      <c r="S85" s="373">
        <f>+INDEX(Tabla2[Salarios],MATCH(YEAR(Tabla3[[#This Row],[Fecha]]),Tabla2[año],0))/Tabla3[[#This Row],[TRM año de cálculo $/USD]]</f>
        <v>219.95429320969842</v>
      </c>
      <c r="T85">
        <f>+Tabla3[[#This Row],[IPC]]/Tabla3[[#This Row],[TRM año de cálculo $/USD]]</f>
        <v>2.9691354734817366E-2</v>
      </c>
      <c r="AF85" s="367">
        <f t="shared" si="1"/>
        <v>39873</v>
      </c>
      <c r="AG85" s="368">
        <v>39895</v>
      </c>
      <c r="AH85" s="369">
        <v>2340.83</v>
      </c>
    </row>
    <row r="86" spans="8:34">
      <c r="H86" s="365">
        <v>42309</v>
      </c>
      <c r="I86" s="373">
        <f>+AVERAGEIF(TRM_dia[MES],Tabla3[[#This Row],[Fecha]],TRM_dia[TRM])</f>
        <v>3001.3763333333345</v>
      </c>
      <c r="J86">
        <v>170.9</v>
      </c>
      <c r="K86">
        <v>87.51</v>
      </c>
      <c r="L86">
        <v>244.2</v>
      </c>
      <c r="M86">
        <v>127.3</v>
      </c>
      <c r="N86">
        <v>173.3</v>
      </c>
      <c r="O86">
        <v>250.5</v>
      </c>
      <c r="P86">
        <v>223.9</v>
      </c>
      <c r="Q86">
        <v>133.80000000000001</v>
      </c>
      <c r="R86">
        <v>206.5</v>
      </c>
      <c r="S86" s="373">
        <f>+INDEX(Tabla2[Salarios],MATCH(YEAR(Tabla3[[#This Row],[Fecha]]),Tabla2[año],0))/Tabla3[[#This Row],[TRM año de cálculo $/USD]]</f>
        <v>214.68484069919469</v>
      </c>
      <c r="T86">
        <f>+Tabla3[[#This Row],[IPC]]/Tabla3[[#This Row],[TRM año de cálculo $/USD]]</f>
        <v>2.9156623589022317E-2</v>
      </c>
      <c r="AF86" s="367">
        <f t="shared" si="1"/>
        <v>39873</v>
      </c>
      <c r="AG86" s="368">
        <v>39896</v>
      </c>
      <c r="AH86" s="369">
        <v>2340.83</v>
      </c>
    </row>
    <row r="87" spans="8:34">
      <c r="H87" s="365">
        <v>42339</v>
      </c>
      <c r="I87" s="373">
        <f>+AVERAGEIF(TRM_dia[MES],Tabla3[[#This Row],[Fecha]],TRM_dia[TRM])</f>
        <v>3244.2016129032259</v>
      </c>
      <c r="J87">
        <v>165.2</v>
      </c>
      <c r="K87">
        <v>88.05</v>
      </c>
      <c r="L87">
        <v>245.3</v>
      </c>
      <c r="M87">
        <v>127.3</v>
      </c>
      <c r="N87">
        <v>174.5</v>
      </c>
      <c r="O87">
        <v>250.8</v>
      </c>
      <c r="P87">
        <v>223.1</v>
      </c>
      <c r="Q87">
        <v>133.9</v>
      </c>
      <c r="R87">
        <v>205.9</v>
      </c>
      <c r="S87" s="373">
        <f>+INDEX(Tabla2[Salarios],MATCH(YEAR(Tabla3[[#This Row],[Fecha]]),Tabla2[año],0))/Tabla3[[#This Row],[TRM año de cálculo $/USD]]</f>
        <v>198.61589287090368</v>
      </c>
      <c r="T87">
        <f>+Tabla3[[#This Row],[IPC]]/Tabla3[[#This Row],[TRM año de cálculo $/USD]]</f>
        <v>2.714072998724772E-2</v>
      </c>
      <c r="AF87" s="367">
        <f t="shared" si="1"/>
        <v>39873</v>
      </c>
      <c r="AG87" s="368">
        <v>39897</v>
      </c>
      <c r="AH87" s="369">
        <v>2353.21</v>
      </c>
    </row>
    <row r="88" spans="8:34">
      <c r="H88" s="365">
        <v>42370</v>
      </c>
      <c r="I88" s="373">
        <f>+AVERAGEIF(TRM_dia[MES],Tabla3[[#This Row],[Fecha]],TRM_dia[TRM])</f>
        <v>3270.1951612903235</v>
      </c>
      <c r="J88">
        <v>162.1</v>
      </c>
      <c r="K88">
        <v>89.19</v>
      </c>
      <c r="L88">
        <v>248.2</v>
      </c>
      <c r="M88">
        <v>127.5</v>
      </c>
      <c r="N88">
        <v>175.1</v>
      </c>
      <c r="O88">
        <v>250.8</v>
      </c>
      <c r="P88">
        <v>223.1</v>
      </c>
      <c r="Q88">
        <v>134.19999999999999</v>
      </c>
      <c r="R88">
        <v>206.4</v>
      </c>
      <c r="S88" s="373">
        <f>+INDEX(Tabla2[Salarios],MATCH(YEAR(Tabla3[[#This Row],[Fecha]]),Tabla2[año],0))/Tabla3[[#This Row],[TRM año de cálculo $/USD]]</f>
        <v>210.82992481952093</v>
      </c>
      <c r="T88">
        <f>+Tabla3[[#This Row],[IPC]]/Tabla3[[#This Row],[TRM año de cálculo $/USD]]</f>
        <v>2.7273601605112836E-2</v>
      </c>
      <c r="AF88" s="367">
        <f t="shared" si="1"/>
        <v>39873</v>
      </c>
      <c r="AG88" s="368">
        <v>39898</v>
      </c>
      <c r="AH88" s="369">
        <v>2379.94</v>
      </c>
    </row>
    <row r="89" spans="8:34">
      <c r="H89" s="365">
        <v>42401</v>
      </c>
      <c r="I89" s="373">
        <f>+AVERAGEIF(TRM_dia[MES],Tabla3[[#This Row],[Fecha]],TRM_dia[TRM])</f>
        <v>3354.9568965517242</v>
      </c>
      <c r="J89">
        <v>160.4</v>
      </c>
      <c r="K89">
        <v>90.33</v>
      </c>
      <c r="L89">
        <v>248.4</v>
      </c>
      <c r="M89">
        <v>131.69999999999999</v>
      </c>
      <c r="N89">
        <v>175.4</v>
      </c>
      <c r="O89">
        <v>250.9</v>
      </c>
      <c r="P89">
        <v>226.4</v>
      </c>
      <c r="Q89">
        <v>134.6</v>
      </c>
      <c r="R89">
        <v>206.4</v>
      </c>
      <c r="S89" s="373">
        <f>+INDEX(Tabla2[Salarios],MATCH(YEAR(Tabla3[[#This Row],[Fecha]]),Tabla2[año],0))/Tabla3[[#This Row],[TRM año de cálculo $/USD]]</f>
        <v>205.50338536648036</v>
      </c>
      <c r="T89">
        <f>+Tabla3[[#This Row],[IPC]]/Tabla3[[#This Row],[TRM año de cálculo $/USD]]</f>
        <v>2.6924339949894006E-2</v>
      </c>
      <c r="AF89" s="367">
        <f t="shared" si="1"/>
        <v>39873</v>
      </c>
      <c r="AG89" s="368">
        <v>39899</v>
      </c>
      <c r="AH89" s="369">
        <v>2435.81</v>
      </c>
    </row>
    <row r="90" spans="8:34">
      <c r="H90" s="365">
        <v>42430</v>
      </c>
      <c r="I90" s="373">
        <f>+AVERAGEIF(TRM_dia[MES],Tabla3[[#This Row],[Fecha]],TRM_dia[TRM])</f>
        <v>3128.7890322580652</v>
      </c>
      <c r="J90">
        <v>157.9</v>
      </c>
      <c r="K90">
        <v>91.18</v>
      </c>
      <c r="L90">
        <v>248.1</v>
      </c>
      <c r="M90">
        <v>131.69999999999999</v>
      </c>
      <c r="N90">
        <v>175.6</v>
      </c>
      <c r="O90">
        <v>250.9</v>
      </c>
      <c r="P90">
        <v>227.7</v>
      </c>
      <c r="Q90">
        <v>134.9</v>
      </c>
      <c r="R90">
        <v>206.3</v>
      </c>
      <c r="S90" s="373">
        <f>+INDEX(Tabla2[Salarios],MATCH(YEAR(Tabla3[[#This Row],[Fecha]]),Tabla2[año],0))/Tabla3[[#This Row],[TRM año de cálculo $/USD]]</f>
        <v>220.35841755121993</v>
      </c>
      <c r="T90">
        <f>+Tabla3[[#This Row],[IPC]]/Tabla3[[#This Row],[TRM año de cálculo $/USD]]</f>
        <v>2.9142265285363414E-2</v>
      </c>
      <c r="AF90" s="367">
        <f t="shared" si="1"/>
        <v>39873</v>
      </c>
      <c r="AG90" s="368">
        <v>39900</v>
      </c>
      <c r="AH90" s="369">
        <v>2485.56</v>
      </c>
    </row>
    <row r="91" spans="8:34">
      <c r="H91" s="365">
        <v>42461</v>
      </c>
      <c r="I91" s="373">
        <f>+AVERAGEIF(TRM_dia[MES],Tabla3[[#This Row],[Fecha]],TRM_dia[TRM])</f>
        <v>2997.726999999999</v>
      </c>
      <c r="J91">
        <v>159.30000000000001</v>
      </c>
      <c r="K91">
        <v>91.63</v>
      </c>
      <c r="L91">
        <v>248.1</v>
      </c>
      <c r="M91">
        <v>131.69999999999999</v>
      </c>
      <c r="N91">
        <v>175.6</v>
      </c>
      <c r="O91">
        <v>251</v>
      </c>
      <c r="P91">
        <v>228.6</v>
      </c>
      <c r="Q91">
        <v>135.4</v>
      </c>
      <c r="R91">
        <v>206.4</v>
      </c>
      <c r="S91" s="373">
        <f>+INDEX(Tabla2[Salarios],MATCH(YEAR(Tabla3[[#This Row],[Fecha]]),Tabla2[año],0))/Tabla3[[#This Row],[TRM año de cálculo $/USD]]</f>
        <v>229.99259105315468</v>
      </c>
      <c r="T91">
        <f>+Tabla3[[#This Row],[IPC]]/Tabla3[[#This Row],[TRM año de cálculo $/USD]]</f>
        <v>3.0566492545852249E-2</v>
      </c>
      <c r="AF91" s="367">
        <f t="shared" si="1"/>
        <v>39873</v>
      </c>
      <c r="AG91" s="368">
        <v>39901</v>
      </c>
      <c r="AH91" s="369">
        <v>2485.56</v>
      </c>
    </row>
    <row r="92" spans="8:34">
      <c r="H92" s="365">
        <v>42491</v>
      </c>
      <c r="I92" s="373">
        <f>+AVERAGEIF(TRM_dia[MES],Tabla3[[#This Row],[Fecha]],TRM_dia[TRM])</f>
        <v>2993.5083870967737</v>
      </c>
      <c r="J92">
        <v>166.2</v>
      </c>
      <c r="K92">
        <v>92.1</v>
      </c>
      <c r="L92">
        <v>247</v>
      </c>
      <c r="M92">
        <v>131.69999999999999</v>
      </c>
      <c r="N92">
        <v>175.6</v>
      </c>
      <c r="O92">
        <v>251</v>
      </c>
      <c r="P92">
        <v>228.5</v>
      </c>
      <c r="Q92">
        <v>135.4</v>
      </c>
      <c r="R92">
        <v>206.4</v>
      </c>
      <c r="S92" s="373">
        <f>+INDEX(Tabla2[Salarios],MATCH(YEAR(Tabla3[[#This Row],[Fecha]]),Tabla2[año],0))/Tabla3[[#This Row],[TRM año de cálculo $/USD]]</f>
        <v>230.31670897326649</v>
      </c>
      <c r="T92">
        <f>+Tabla3[[#This Row],[IPC]]/Tabla3[[#This Row],[TRM año de cálculo $/USD]]</f>
        <v>3.0766574898199072E-2</v>
      </c>
      <c r="AF92" s="367">
        <f t="shared" si="1"/>
        <v>39873</v>
      </c>
      <c r="AG92" s="368">
        <v>39902</v>
      </c>
      <c r="AH92" s="369">
        <v>2485.56</v>
      </c>
    </row>
    <row r="93" spans="8:34">
      <c r="H93" s="365">
        <v>42522</v>
      </c>
      <c r="I93" s="373">
        <f>+AVERAGEIF(TRM_dia[MES],Tabla3[[#This Row],[Fecha]],TRM_dia[TRM])</f>
        <v>2992.8586666666661</v>
      </c>
      <c r="J93">
        <v>169.2</v>
      </c>
      <c r="K93">
        <v>92.54</v>
      </c>
      <c r="L93">
        <v>247</v>
      </c>
      <c r="M93">
        <v>131.69999999999999</v>
      </c>
      <c r="N93">
        <v>175.6</v>
      </c>
      <c r="O93">
        <v>253.9</v>
      </c>
      <c r="P93">
        <v>228.5</v>
      </c>
      <c r="Q93">
        <v>136.19999999999999</v>
      </c>
      <c r="R93">
        <v>206.4</v>
      </c>
      <c r="S93" s="373">
        <f>+INDEX(Tabla2[Salarios],MATCH(YEAR(Tabla3[[#This Row],[Fecha]]),Tabla2[año],0))/Tabla3[[#This Row],[TRM año de cálculo $/USD]]</f>
        <v>230.36670848473082</v>
      </c>
      <c r="T93">
        <f>+Tabla3[[#This Row],[IPC]]/Tabla3[[#This Row],[TRM año de cálculo $/USD]]</f>
        <v>3.0920270653163717E-2</v>
      </c>
      <c r="AF93" s="367">
        <f t="shared" si="1"/>
        <v>39873</v>
      </c>
      <c r="AG93" s="368">
        <v>39903</v>
      </c>
      <c r="AH93" s="369">
        <v>2561.21</v>
      </c>
    </row>
    <row r="94" spans="8:34">
      <c r="H94" s="365">
        <v>42552</v>
      </c>
      <c r="I94" s="373">
        <f>+AVERAGEIF(TRM_dia[MES],Tabla3[[#This Row],[Fecha]],TRM_dia[TRM])</f>
        <v>2960.9996774193542</v>
      </c>
      <c r="J94">
        <v>169.2</v>
      </c>
      <c r="K94">
        <v>93.02</v>
      </c>
      <c r="L94">
        <v>246.9</v>
      </c>
      <c r="M94">
        <v>131.69999999999999</v>
      </c>
      <c r="N94">
        <v>176.4</v>
      </c>
      <c r="O94">
        <v>253.5</v>
      </c>
      <c r="P94">
        <v>228.4</v>
      </c>
      <c r="Q94">
        <v>136.19999999999999</v>
      </c>
      <c r="R94">
        <v>207</v>
      </c>
      <c r="S94" s="373">
        <f>+INDEX(Tabla2[Salarios],MATCH(YEAR(Tabla3[[#This Row],[Fecha]]),Tabla2[año],0))/Tabla3[[#This Row],[TRM año de cálculo $/USD]]</f>
        <v>232.84534789307759</v>
      </c>
      <c r="T94">
        <f>+Tabla3[[#This Row],[IPC]]/Tabla3[[#This Row],[TRM año de cálculo $/USD]]</f>
        <v>3.1415065901348273E-2</v>
      </c>
      <c r="AF94" s="367">
        <f t="shared" si="1"/>
        <v>39904</v>
      </c>
      <c r="AG94" s="368">
        <v>39904</v>
      </c>
      <c r="AH94" s="369">
        <v>2544.2399999999998</v>
      </c>
    </row>
    <row r="95" spans="8:34">
      <c r="H95" s="365">
        <v>42583</v>
      </c>
      <c r="I95" s="373">
        <f>+AVERAGEIF(TRM_dia[MES],Tabla3[[#This Row],[Fecha]],TRM_dia[TRM])</f>
        <v>2952.7667741935488</v>
      </c>
      <c r="J95">
        <v>168.2</v>
      </c>
      <c r="K95">
        <v>92.73</v>
      </c>
      <c r="L95">
        <v>246.9</v>
      </c>
      <c r="M95">
        <v>131.69999999999999</v>
      </c>
      <c r="N95">
        <v>176.4</v>
      </c>
      <c r="O95">
        <v>253.5</v>
      </c>
      <c r="P95">
        <v>228.1</v>
      </c>
      <c r="Q95">
        <v>136.19999999999999</v>
      </c>
      <c r="R95">
        <v>207</v>
      </c>
      <c r="S95" s="373">
        <f>+INDEX(Tabla2[Salarios],MATCH(YEAR(Tabla3[[#This Row],[Fecha]]),Tabla2[año],0))/Tabla3[[#This Row],[TRM año de cálculo $/USD]]</f>
        <v>233.49456720580378</v>
      </c>
      <c r="T95">
        <f>+Tabla3[[#This Row],[IPC]]/Tabla3[[#This Row],[TRM año de cálculo $/USD]]</f>
        <v>3.1404444404630014E-2</v>
      </c>
      <c r="AF95" s="367">
        <f t="shared" si="1"/>
        <v>39904</v>
      </c>
      <c r="AG95" s="368">
        <v>39905</v>
      </c>
      <c r="AH95" s="369">
        <v>2534.9899999999998</v>
      </c>
    </row>
    <row r="96" spans="8:34">
      <c r="H96" s="365">
        <v>42614</v>
      </c>
      <c r="I96" s="373">
        <f>+AVERAGEIF(TRM_dia[MES],Tabla3[[#This Row],[Fecha]],TRM_dia[TRM])</f>
        <v>2924.2653333333337</v>
      </c>
      <c r="J96">
        <v>166.1</v>
      </c>
      <c r="K96">
        <v>92.68</v>
      </c>
      <c r="L96">
        <v>246.9</v>
      </c>
      <c r="M96">
        <v>131.69999999999999</v>
      </c>
      <c r="N96">
        <v>176.4</v>
      </c>
      <c r="O96">
        <v>253.5</v>
      </c>
      <c r="P96">
        <v>227.9</v>
      </c>
      <c r="Q96">
        <v>136.19999999999999</v>
      </c>
      <c r="R96">
        <v>206.8</v>
      </c>
      <c r="S96" s="373">
        <f>+INDEX(Tabla2[Salarios],MATCH(YEAR(Tabla3[[#This Row],[Fecha]]),Tabla2[año],0))/Tabla3[[#This Row],[TRM año de cálculo $/USD]]</f>
        <v>235.77032909462386</v>
      </c>
      <c r="T96">
        <f>+Tabla3[[#This Row],[IPC]]/Tabla3[[#This Row],[TRM año de cálculo $/USD]]</f>
        <v>3.1693430463902272E-2</v>
      </c>
      <c r="AF96" s="367">
        <f t="shared" si="1"/>
        <v>39904</v>
      </c>
      <c r="AG96" s="368">
        <v>39906</v>
      </c>
      <c r="AH96" s="369">
        <v>2451.7199999999998</v>
      </c>
    </row>
    <row r="97" spans="8:34">
      <c r="H97" s="365">
        <v>42644</v>
      </c>
      <c r="I97" s="373">
        <f>+AVERAGEIF(TRM_dia[MES],Tabla3[[#This Row],[Fecha]],TRM_dia[TRM])</f>
        <v>2929.3887096774188</v>
      </c>
      <c r="J97">
        <v>165</v>
      </c>
      <c r="K97">
        <v>92.62</v>
      </c>
      <c r="L97">
        <v>246.9</v>
      </c>
      <c r="M97">
        <v>131.69999999999999</v>
      </c>
      <c r="N97">
        <v>177.2</v>
      </c>
      <c r="O97">
        <v>253.3</v>
      </c>
      <c r="P97">
        <v>228.1</v>
      </c>
      <c r="Q97">
        <v>136.19999999999999</v>
      </c>
      <c r="R97">
        <v>207.6</v>
      </c>
      <c r="S97" s="373">
        <f>+INDEX(Tabla2[Salarios],MATCH(YEAR(Tabla3[[#This Row],[Fecha]]),Tabla2[año],0))/Tabla3[[#This Row],[TRM año de cálculo $/USD]]</f>
        <v>235.35797681009089</v>
      </c>
      <c r="T97">
        <f>+Tabla3[[#This Row],[IPC]]/Tabla3[[#This Row],[TRM año de cálculo $/USD]]</f>
        <v>3.161751791219241E-2</v>
      </c>
      <c r="AF97" s="367">
        <f t="shared" si="1"/>
        <v>39904</v>
      </c>
      <c r="AG97" s="368">
        <v>39907</v>
      </c>
      <c r="AH97" s="369">
        <v>2422.71</v>
      </c>
    </row>
    <row r="98" spans="8:34">
      <c r="H98" s="365">
        <v>42675</v>
      </c>
      <c r="I98" s="373">
        <f>+AVERAGEIF(TRM_dia[MES],Tabla3[[#This Row],[Fecha]],TRM_dia[TRM])</f>
        <v>3110.2586666666666</v>
      </c>
      <c r="J98">
        <v>163</v>
      </c>
      <c r="K98">
        <v>92.73</v>
      </c>
      <c r="L98">
        <v>246.9</v>
      </c>
      <c r="M98">
        <v>131.69999999999999</v>
      </c>
      <c r="N98">
        <v>177.5</v>
      </c>
      <c r="O98">
        <v>253.3</v>
      </c>
      <c r="P98">
        <v>228.6</v>
      </c>
      <c r="Q98">
        <v>136.19999999999999</v>
      </c>
      <c r="R98">
        <v>207.8</v>
      </c>
      <c r="S98" s="373">
        <f>+INDEX(Tabla2[Salarios],MATCH(YEAR(Tabla3[[#This Row],[Fecha]]),Tabla2[año],0))/Tabla3[[#This Row],[TRM año de cálculo $/USD]]</f>
        <v>221.67127364326396</v>
      </c>
      <c r="T98">
        <f>+Tabla3[[#This Row],[IPC]]/Tabla3[[#This Row],[TRM año de cálculo $/USD]]</f>
        <v>2.9814240530476779E-2</v>
      </c>
      <c r="AF98" s="367">
        <f t="shared" si="1"/>
        <v>39904</v>
      </c>
      <c r="AG98" s="368">
        <v>39908</v>
      </c>
      <c r="AH98" s="369">
        <v>2422.71</v>
      </c>
    </row>
    <row r="99" spans="8:34">
      <c r="H99" s="365">
        <v>42705</v>
      </c>
      <c r="I99" s="373">
        <f>+AVERAGEIF(TRM_dia[MES],Tabla3[[#This Row],[Fecha]],TRM_dia[TRM])</f>
        <v>3009.863870967743</v>
      </c>
      <c r="J99">
        <v>167.1</v>
      </c>
      <c r="K99">
        <v>93.11</v>
      </c>
      <c r="L99">
        <v>247.9</v>
      </c>
      <c r="M99">
        <v>131.9</v>
      </c>
      <c r="N99">
        <v>177.7</v>
      </c>
      <c r="O99">
        <v>253.5</v>
      </c>
      <c r="P99">
        <v>230.2</v>
      </c>
      <c r="Q99">
        <v>136.30000000000001</v>
      </c>
      <c r="R99">
        <v>207.8</v>
      </c>
      <c r="S99" s="373">
        <f>+INDEX(Tabla2[Salarios],MATCH(YEAR(Tabla3[[#This Row],[Fecha]]),Tabla2[año],0))/Tabla3[[#This Row],[TRM año de cálculo $/USD]]</f>
        <v>229.06517688400433</v>
      </c>
      <c r="T99">
        <f>+Tabla3[[#This Row],[IPC]]/Tabla3[[#This Row],[TRM año de cálculo $/USD]]</f>
        <v>3.0934953868881423E-2</v>
      </c>
      <c r="AF99" s="367">
        <f t="shared" si="1"/>
        <v>39904</v>
      </c>
      <c r="AG99" s="368">
        <v>39909</v>
      </c>
      <c r="AH99" s="369">
        <v>2422.71</v>
      </c>
    </row>
    <row r="100" spans="8:34">
      <c r="H100" s="365">
        <v>42736</v>
      </c>
      <c r="I100" s="373">
        <f>+AVERAGEIF(TRM_dia[MES],Tabla3[[#This Row],[Fecha]],TRM_dia[TRM])</f>
        <v>2941.3993548387098</v>
      </c>
      <c r="J100">
        <v>171.4</v>
      </c>
      <c r="K100">
        <v>94.07</v>
      </c>
      <c r="L100">
        <v>248.3</v>
      </c>
      <c r="M100">
        <v>132</v>
      </c>
      <c r="N100">
        <v>178.8</v>
      </c>
      <c r="O100">
        <v>253.5</v>
      </c>
      <c r="P100">
        <v>231.5</v>
      </c>
      <c r="Q100">
        <v>136.9</v>
      </c>
      <c r="R100">
        <v>207.8</v>
      </c>
      <c r="S100" s="373">
        <f>+INDEX(Tabla2[Salarios],MATCH(YEAR(Tabla3[[#This Row],[Fecha]]),Tabla2[año],0))/Tabla3[[#This Row],[TRM año de cálculo $/USD]]</f>
        <v>250.80477385242793</v>
      </c>
      <c r="T100">
        <f>+Tabla3[[#This Row],[IPC]]/Tabla3[[#This Row],[TRM año de cálculo $/USD]]</f>
        <v>3.1981376430660936E-2</v>
      </c>
      <c r="AF100" s="367">
        <f t="shared" si="1"/>
        <v>39904</v>
      </c>
      <c r="AG100" s="368">
        <v>39910</v>
      </c>
      <c r="AH100" s="369">
        <v>2408.42</v>
      </c>
    </row>
    <row r="101" spans="8:34">
      <c r="H101" s="365">
        <v>42767</v>
      </c>
      <c r="I101" s="373">
        <f>+AVERAGEIF(TRM_dia[MES],Tabla3[[#This Row],[Fecha]],TRM_dia[TRM])</f>
        <v>2879.5667857142862</v>
      </c>
      <c r="J101">
        <v>174.8</v>
      </c>
      <c r="K101">
        <v>95.01</v>
      </c>
      <c r="L101">
        <v>250.6</v>
      </c>
      <c r="M101">
        <v>132</v>
      </c>
      <c r="N101">
        <v>178.8</v>
      </c>
      <c r="O101">
        <v>253.6</v>
      </c>
      <c r="P101">
        <v>232.3</v>
      </c>
      <c r="Q101">
        <v>137.4</v>
      </c>
      <c r="R101">
        <v>209.1</v>
      </c>
      <c r="S101" s="373">
        <f>+INDEX(Tabla2[Salarios],MATCH(YEAR(Tabla3[[#This Row],[Fecha]]),Tabla2[año],0))/Tabla3[[#This Row],[TRM año de cálculo $/USD]]</f>
        <v>256.19027266874343</v>
      </c>
      <c r="T101">
        <f>+Tabla3[[#This Row],[IPC]]/Tabla3[[#This Row],[TRM año de cálculo $/USD]]</f>
        <v>3.2994546426688434E-2</v>
      </c>
      <c r="AF101" s="367">
        <f t="shared" si="1"/>
        <v>39904</v>
      </c>
      <c r="AG101" s="368">
        <v>39911</v>
      </c>
      <c r="AH101" s="369">
        <v>2416.63</v>
      </c>
    </row>
    <row r="102" spans="8:34">
      <c r="H102" s="365">
        <v>42795</v>
      </c>
      <c r="I102" s="373">
        <f>+AVERAGEIF(TRM_dia[MES],Tabla3[[#This Row],[Fecha]],TRM_dia[TRM])</f>
        <v>2942.2861290322589</v>
      </c>
      <c r="J102">
        <v>176.5</v>
      </c>
      <c r="K102">
        <v>95.46</v>
      </c>
      <c r="L102">
        <v>251.6</v>
      </c>
      <c r="M102">
        <v>132.6</v>
      </c>
      <c r="N102">
        <v>178.7</v>
      </c>
      <c r="O102">
        <v>253.5</v>
      </c>
      <c r="P102">
        <v>233.1</v>
      </c>
      <c r="Q102">
        <v>137.4</v>
      </c>
      <c r="R102">
        <v>209.1</v>
      </c>
      <c r="S102" s="373">
        <f>+INDEX(Tabla2[Salarios],MATCH(YEAR(Tabla3[[#This Row],[Fecha]]),Tabla2[año],0))/Tabla3[[#This Row],[TRM año de cálculo $/USD]]</f>
        <v>250.7291839229249</v>
      </c>
      <c r="T102">
        <f>+Tabla3[[#This Row],[IPC]]/Tabla3[[#This Row],[TRM año de cálculo $/USD]]</f>
        <v>3.2444159341973151E-2</v>
      </c>
      <c r="AF102" s="367">
        <f t="shared" si="1"/>
        <v>39904</v>
      </c>
      <c r="AG102" s="368">
        <v>39912</v>
      </c>
      <c r="AH102" s="369">
        <v>2388.11</v>
      </c>
    </row>
    <row r="103" spans="8:34">
      <c r="H103" s="365">
        <v>42826</v>
      </c>
      <c r="I103" s="373">
        <f>+AVERAGEIF(TRM_dia[MES],Tabla3[[#This Row],[Fecha]],TRM_dia[TRM])</f>
        <v>2877.8216666666681</v>
      </c>
      <c r="J103">
        <v>178.1</v>
      </c>
      <c r="K103">
        <v>95.91</v>
      </c>
      <c r="L103">
        <v>251.6</v>
      </c>
      <c r="M103">
        <v>132.6</v>
      </c>
      <c r="N103">
        <v>179.4</v>
      </c>
      <c r="O103">
        <v>254.2</v>
      </c>
      <c r="P103">
        <v>235.5</v>
      </c>
      <c r="Q103">
        <v>137</v>
      </c>
      <c r="R103">
        <v>209.8</v>
      </c>
      <c r="S103" s="373">
        <f>+INDEX(Tabla2[Salarios],MATCH(YEAR(Tabla3[[#This Row],[Fecha]]),Tabla2[año],0))/Tabla3[[#This Row],[TRM año de cálculo $/USD]]</f>
        <v>256.34562716128448</v>
      </c>
      <c r="T103">
        <f>+Tabla3[[#This Row],[IPC]]/Tabla3[[#This Row],[TRM año de cálculo $/USD]]</f>
        <v>3.3327290954442958E-2</v>
      </c>
      <c r="AF103" s="367">
        <f t="shared" si="1"/>
        <v>39904</v>
      </c>
      <c r="AG103" s="368">
        <v>39913</v>
      </c>
      <c r="AH103" s="369">
        <v>2388.11</v>
      </c>
    </row>
    <row r="104" spans="8:34">
      <c r="H104" s="365">
        <v>42856</v>
      </c>
      <c r="I104" s="373">
        <f>+AVERAGEIF(TRM_dia[MES],Tabla3[[#This Row],[Fecha]],TRM_dia[TRM])</f>
        <v>2923.6129032258059</v>
      </c>
      <c r="J104">
        <v>179.5</v>
      </c>
      <c r="K104">
        <v>96.12</v>
      </c>
      <c r="L104">
        <v>251.6</v>
      </c>
      <c r="M104">
        <v>132.6</v>
      </c>
      <c r="N104">
        <v>179.4</v>
      </c>
      <c r="O104">
        <v>254.4</v>
      </c>
      <c r="P104">
        <v>235.9</v>
      </c>
      <c r="Q104">
        <v>137</v>
      </c>
      <c r="R104">
        <v>209.9</v>
      </c>
      <c r="S104" s="373">
        <f>+INDEX(Tabla2[Salarios],MATCH(YEAR(Tabla3[[#This Row],[Fecha]]),Tabla2[año],0))/Tabla3[[#This Row],[TRM año de cálculo $/USD]]</f>
        <v>252.33060067084477</v>
      </c>
      <c r="T104">
        <f>+Tabla3[[#This Row],[IPC]]/Tabla3[[#This Row],[TRM año de cálculo $/USD]]</f>
        <v>3.287712949068762E-2</v>
      </c>
      <c r="AF104" s="367">
        <f t="shared" si="1"/>
        <v>39904</v>
      </c>
      <c r="AG104" s="368">
        <v>39914</v>
      </c>
      <c r="AH104" s="369">
        <v>2388.11</v>
      </c>
    </row>
    <row r="105" spans="8:34">
      <c r="H105" s="365">
        <v>42887</v>
      </c>
      <c r="I105" s="373">
        <f>+AVERAGEIF(TRM_dia[MES],Tabla3[[#This Row],[Fecha]],TRM_dia[TRM])</f>
        <v>2957.0983333333324</v>
      </c>
      <c r="J105">
        <v>180.6</v>
      </c>
      <c r="K105">
        <v>96.23</v>
      </c>
      <c r="L105">
        <v>251.6</v>
      </c>
      <c r="M105">
        <v>132.6</v>
      </c>
      <c r="N105">
        <v>179.4</v>
      </c>
      <c r="O105">
        <v>259.89999999999998</v>
      </c>
      <c r="P105">
        <v>234.7</v>
      </c>
      <c r="Q105">
        <v>137</v>
      </c>
      <c r="R105">
        <v>209.9</v>
      </c>
      <c r="S105" s="373">
        <f>+INDEX(Tabla2[Salarios],MATCH(YEAR(Tabla3[[#This Row],[Fecha]]),Tabla2[año],0))/Tabla3[[#This Row],[TRM año de cálculo $/USD]]</f>
        <v>249.47327306779908</v>
      </c>
      <c r="T105">
        <f>+Tabla3[[#This Row],[IPC]]/Tabla3[[#This Row],[TRM año de cálculo $/USD]]</f>
        <v>3.2542035858349888E-2</v>
      </c>
      <c r="AF105" s="367">
        <f t="shared" si="1"/>
        <v>39904</v>
      </c>
      <c r="AG105" s="368">
        <v>39915</v>
      </c>
      <c r="AH105" s="369">
        <v>2388.11</v>
      </c>
    </row>
    <row r="106" spans="8:34">
      <c r="H106" s="365">
        <v>42917</v>
      </c>
      <c r="I106" s="373">
        <f>+AVERAGEIF(TRM_dia[MES],Tabla3[[#This Row],[Fecha]],TRM_dia[TRM])</f>
        <v>3036.5838709677423</v>
      </c>
      <c r="J106">
        <v>180.1</v>
      </c>
      <c r="K106">
        <v>96.18</v>
      </c>
      <c r="L106">
        <v>251.6</v>
      </c>
      <c r="M106">
        <v>132.6</v>
      </c>
      <c r="N106">
        <v>180.8</v>
      </c>
      <c r="O106">
        <v>259.60000000000002</v>
      </c>
      <c r="P106">
        <v>234.1</v>
      </c>
      <c r="Q106">
        <v>137.30000000000001</v>
      </c>
      <c r="R106">
        <v>210.3</v>
      </c>
      <c r="S106" s="373">
        <f>+INDEX(Tabla2[Salarios],MATCH(YEAR(Tabla3[[#This Row],[Fecha]]),Tabla2[año],0))/Tabla3[[#This Row],[TRM año de cálculo $/USD]]</f>
        <v>242.94306739003184</v>
      </c>
      <c r="T106">
        <f>+Tabla3[[#This Row],[IPC]]/Tabla3[[#This Row],[TRM año de cálculo $/USD]]</f>
        <v>3.1673750532485036E-2</v>
      </c>
      <c r="AF106" s="367">
        <f t="shared" si="1"/>
        <v>39904</v>
      </c>
      <c r="AG106" s="368">
        <v>39916</v>
      </c>
      <c r="AH106" s="369">
        <v>2388.11</v>
      </c>
    </row>
    <row r="107" spans="8:34">
      <c r="H107" s="365">
        <v>42948</v>
      </c>
      <c r="I107" s="373">
        <f>+AVERAGEIF(TRM_dia[MES],Tabla3[[#This Row],[Fecha]],TRM_dia[TRM])</f>
        <v>2973.2048387096775</v>
      </c>
      <c r="J107">
        <v>180.5</v>
      </c>
      <c r="K107">
        <v>96.32</v>
      </c>
      <c r="L107">
        <v>251.6</v>
      </c>
      <c r="M107">
        <v>132.6</v>
      </c>
      <c r="N107">
        <v>180.7</v>
      </c>
      <c r="O107">
        <v>259.60000000000002</v>
      </c>
      <c r="P107">
        <v>233.6</v>
      </c>
      <c r="Q107">
        <v>137.19999999999999</v>
      </c>
      <c r="R107">
        <v>210.2</v>
      </c>
      <c r="S107" s="373">
        <f>+INDEX(Tabla2[Salarios],MATCH(YEAR(Tabla3[[#This Row],[Fecha]]),Tabla2[año],0))/Tabla3[[#This Row],[TRM año de cálculo $/USD]]</f>
        <v>248.12182140809281</v>
      </c>
      <c r="T107">
        <f>+Tabla3[[#This Row],[IPC]]/Tabla3[[#This Row],[TRM año de cálculo $/USD]]</f>
        <v>3.2396018850084106E-2</v>
      </c>
      <c r="AF107" s="367">
        <f t="shared" si="1"/>
        <v>39904</v>
      </c>
      <c r="AG107" s="368">
        <v>39917</v>
      </c>
      <c r="AH107" s="369">
        <v>2392.2199999999998</v>
      </c>
    </row>
    <row r="108" spans="8:34">
      <c r="H108" s="365">
        <v>42979</v>
      </c>
      <c r="I108" s="373">
        <f>+AVERAGEIF(TRM_dia[MES],Tabla3[[#This Row],[Fecha]],TRM_dia[TRM])</f>
        <v>2917.085</v>
      </c>
      <c r="J108">
        <v>183.1</v>
      </c>
      <c r="K108">
        <v>96.36</v>
      </c>
      <c r="L108">
        <v>251.6</v>
      </c>
      <c r="M108">
        <v>132.6</v>
      </c>
      <c r="N108">
        <v>180.7</v>
      </c>
      <c r="O108">
        <v>259.8</v>
      </c>
      <c r="P108">
        <v>233.7</v>
      </c>
      <c r="Q108">
        <v>136.80000000000001</v>
      </c>
      <c r="R108">
        <v>210.4</v>
      </c>
      <c r="S108" s="373">
        <f>+INDEX(Tabla2[Salarios],MATCH(YEAR(Tabla3[[#This Row],[Fecha]]),Tabla2[año],0))/Tabla3[[#This Row],[TRM año de cálculo $/USD]]</f>
        <v>252.89527044978121</v>
      </c>
      <c r="T108">
        <f>+Tabla3[[#This Row],[IPC]]/Tabla3[[#This Row],[TRM año de cálculo $/USD]]</f>
        <v>3.3032976413097319E-2</v>
      </c>
      <c r="AF108" s="367">
        <f t="shared" si="1"/>
        <v>39904</v>
      </c>
      <c r="AG108" s="368">
        <v>39918</v>
      </c>
      <c r="AH108" s="369">
        <v>2394.27</v>
      </c>
    </row>
    <row r="109" spans="8:34">
      <c r="H109" s="365">
        <v>43009</v>
      </c>
      <c r="I109" s="373">
        <f>+AVERAGEIF(TRM_dia[MES],Tabla3[[#This Row],[Fecha]],TRM_dia[TRM])</f>
        <v>2953.7558064516143</v>
      </c>
      <c r="J109">
        <v>182.7</v>
      </c>
      <c r="K109">
        <v>96.37</v>
      </c>
      <c r="L109">
        <v>253.4</v>
      </c>
      <c r="M109">
        <v>132.6</v>
      </c>
      <c r="N109">
        <v>180.8</v>
      </c>
      <c r="O109">
        <v>259.8</v>
      </c>
      <c r="P109">
        <v>236.7</v>
      </c>
      <c r="Q109">
        <v>137.4</v>
      </c>
      <c r="R109">
        <v>210.3</v>
      </c>
      <c r="S109" s="373">
        <f>+INDEX(Tabla2[Salarios],MATCH(YEAR(Tabla3[[#This Row],[Fecha]]),Tabla2[año],0))/Tabla3[[#This Row],[TRM año de cálculo $/USD]]</f>
        <v>249.75558182185316</v>
      </c>
      <c r="T109">
        <f>+Tabla3[[#This Row],[IPC]]/Tabla3[[#This Row],[TRM año de cálculo $/USD]]</f>
        <v>3.2626258335068853E-2</v>
      </c>
      <c r="AF109" s="367">
        <f t="shared" si="1"/>
        <v>39904</v>
      </c>
      <c r="AG109" s="368">
        <v>39919</v>
      </c>
      <c r="AH109" s="369">
        <v>2380.69</v>
      </c>
    </row>
    <row r="110" spans="8:34">
      <c r="H110" s="365">
        <v>43040</v>
      </c>
      <c r="I110" s="373">
        <f>+AVERAGEIF(TRM_dia[MES],Tabla3[[#This Row],[Fecha]],TRM_dia[TRM])</f>
        <v>3013.4666666666662</v>
      </c>
      <c r="J110">
        <v>178.3</v>
      </c>
      <c r="K110">
        <v>96.55</v>
      </c>
      <c r="L110">
        <v>255.6</v>
      </c>
      <c r="M110">
        <v>132.6</v>
      </c>
      <c r="N110">
        <v>180.8</v>
      </c>
      <c r="O110">
        <v>259.8</v>
      </c>
      <c r="P110">
        <v>237.3</v>
      </c>
      <c r="Q110">
        <v>137.4</v>
      </c>
      <c r="R110">
        <v>210.4</v>
      </c>
      <c r="S110" s="373">
        <f>+INDEX(Tabla2[Salarios],MATCH(YEAR(Tabla3[[#This Row],[Fecha]]),Tabla2[año],0))/Tabla3[[#This Row],[TRM año de cálculo $/USD]]</f>
        <v>244.80675633821517</v>
      </c>
      <c r="T110">
        <f>+Tabla3[[#This Row],[IPC]]/Tabla3[[#This Row],[TRM año de cálculo $/USD]]</f>
        <v>3.2039511526038678E-2</v>
      </c>
      <c r="AF110" s="367">
        <f t="shared" si="1"/>
        <v>39904</v>
      </c>
      <c r="AG110" s="368">
        <v>39920</v>
      </c>
      <c r="AH110" s="369">
        <v>2344.98</v>
      </c>
    </row>
    <row r="111" spans="8:34">
      <c r="H111" s="365">
        <v>43070</v>
      </c>
      <c r="I111" s="373">
        <f>+AVERAGEIF(TRM_dia[MES],Tabla3[[#This Row],[Fecha]],TRM_dia[TRM])</f>
        <v>2991.7619354838707</v>
      </c>
      <c r="J111">
        <v>178.2</v>
      </c>
      <c r="K111">
        <v>96.92</v>
      </c>
      <c r="L111">
        <v>256.5</v>
      </c>
      <c r="M111">
        <v>133</v>
      </c>
      <c r="N111">
        <v>180.8</v>
      </c>
      <c r="O111">
        <v>259.8</v>
      </c>
      <c r="P111">
        <v>236.6</v>
      </c>
      <c r="Q111">
        <v>138</v>
      </c>
      <c r="R111">
        <v>211</v>
      </c>
      <c r="S111" s="373">
        <f>+INDEX(Tabla2[Salarios],MATCH(YEAR(Tabla3[[#This Row],[Fecha]]),Tabla2[año],0))/Tabla3[[#This Row],[TRM año de cálculo $/USD]]</f>
        <v>246.5827883062112</v>
      </c>
      <c r="T111">
        <f>+Tabla3[[#This Row],[IPC]]/Tabla3[[#This Row],[TRM año de cálculo $/USD]]</f>
        <v>3.2395625751660856E-2</v>
      </c>
      <c r="AF111" s="367">
        <f t="shared" si="1"/>
        <v>39904</v>
      </c>
      <c r="AG111" s="368">
        <v>39921</v>
      </c>
      <c r="AH111" s="369">
        <v>2343.34</v>
      </c>
    </row>
    <row r="112" spans="8:34">
      <c r="H112" s="365">
        <v>43101</v>
      </c>
      <c r="I112" s="373">
        <f>+AVERAGEIF(TRM_dia[MES],Tabla3[[#This Row],[Fecha]],TRM_dia[TRM])</f>
        <v>2868.5722580645152</v>
      </c>
      <c r="J112">
        <v>178</v>
      </c>
      <c r="K112">
        <v>97.53</v>
      </c>
      <c r="L112">
        <v>257.5</v>
      </c>
      <c r="M112">
        <v>133.5</v>
      </c>
      <c r="N112">
        <v>182.2</v>
      </c>
      <c r="O112">
        <v>266.7</v>
      </c>
      <c r="P112">
        <v>237.6</v>
      </c>
      <c r="Q112">
        <v>139</v>
      </c>
      <c r="R112">
        <v>210.5</v>
      </c>
      <c r="S112" s="373">
        <f>+INDEX(Tabla2[Salarios],MATCH(YEAR(Tabla3[[#This Row],[Fecha]]),Tabla2[año],0))/Tabla3[[#This Row],[TRM año de cálculo $/USD]]</f>
        <v>272.34523997213864</v>
      </c>
      <c r="T112">
        <f>+Tabla3[[#This Row],[IPC]]/Tabla3[[#This Row],[TRM año de cálculo $/USD]]</f>
        <v>3.3999492160537555E-2</v>
      </c>
      <c r="AF112" s="367">
        <f t="shared" si="1"/>
        <v>39904</v>
      </c>
      <c r="AG112" s="368">
        <v>39922</v>
      </c>
      <c r="AH112" s="369">
        <v>2343.34</v>
      </c>
    </row>
    <row r="113" spans="8:34">
      <c r="H113" s="365">
        <v>43132</v>
      </c>
      <c r="I113" s="373">
        <f>+AVERAGEIF(TRM_dia[MES],Tabla3[[#This Row],[Fecha]],TRM_dia[TRM])</f>
        <v>2860.252857142857</v>
      </c>
      <c r="J113">
        <v>187.1</v>
      </c>
      <c r="K113">
        <v>98.22</v>
      </c>
      <c r="L113">
        <v>257.89999999999998</v>
      </c>
      <c r="M113">
        <v>133.80000000000001</v>
      </c>
      <c r="N113">
        <v>182.2</v>
      </c>
      <c r="O113">
        <v>266.8</v>
      </c>
      <c r="P113">
        <v>240.6</v>
      </c>
      <c r="Q113">
        <v>138.30000000000001</v>
      </c>
      <c r="R113">
        <v>210.7</v>
      </c>
      <c r="S113" s="373">
        <f>+INDEX(Tabla2[Salarios],MATCH(YEAR(Tabla3[[#This Row],[Fecha]]),Tabla2[año],0))/Tabla3[[#This Row],[TRM año de cálculo $/USD]]</f>
        <v>273.1373899510383</v>
      </c>
      <c r="T113">
        <f>+Tabla3[[#This Row],[IPC]]/Tabla3[[#This Row],[TRM año de cálculo $/USD]]</f>
        <v>3.4339621322190796E-2</v>
      </c>
      <c r="AF113" s="367">
        <f t="shared" si="1"/>
        <v>39904</v>
      </c>
      <c r="AG113" s="368">
        <v>39923</v>
      </c>
      <c r="AH113" s="369">
        <v>2343.34</v>
      </c>
    </row>
    <row r="114" spans="8:34">
      <c r="H114" s="365">
        <v>43160</v>
      </c>
      <c r="I114" s="373">
        <f>+AVERAGEIF(TRM_dia[MES],Tabla3[[#This Row],[Fecha]],TRM_dia[TRM])</f>
        <v>2847.9306451612902</v>
      </c>
      <c r="J114">
        <v>192.2</v>
      </c>
      <c r="K114">
        <v>98.45</v>
      </c>
      <c r="L114">
        <v>258.3</v>
      </c>
      <c r="M114">
        <v>133.6</v>
      </c>
      <c r="N114">
        <v>182.2</v>
      </c>
      <c r="O114">
        <v>266.8</v>
      </c>
      <c r="P114">
        <v>240.9</v>
      </c>
      <c r="Q114">
        <v>138.4</v>
      </c>
      <c r="R114">
        <v>211</v>
      </c>
      <c r="S114" s="373">
        <f>+INDEX(Tabla2[Salarios],MATCH(YEAR(Tabla3[[#This Row],[Fecha]]),Tabla2[año],0))/Tabla3[[#This Row],[TRM año de cálculo $/USD]]</f>
        <v>274.31918025368731</v>
      </c>
      <c r="T114">
        <f>+Tabla3[[#This Row],[IPC]]/Tabla3[[#This Row],[TRM año de cálculo $/USD]]</f>
        <v>3.4568959804997065E-2</v>
      </c>
      <c r="AF114" s="367">
        <f t="shared" si="1"/>
        <v>39904</v>
      </c>
      <c r="AG114" s="368">
        <v>39924</v>
      </c>
      <c r="AH114" s="369">
        <v>2376.38</v>
      </c>
    </row>
    <row r="115" spans="8:34">
      <c r="H115" s="365">
        <v>43191</v>
      </c>
      <c r="I115" s="373">
        <f>+AVERAGEIF(TRM_dia[MES],Tabla3[[#This Row],[Fecha]],TRM_dia[TRM])</f>
        <v>2766.2849999999994</v>
      </c>
      <c r="J115">
        <v>197.5</v>
      </c>
      <c r="K115">
        <v>98.91</v>
      </c>
      <c r="L115">
        <v>258.2</v>
      </c>
      <c r="M115">
        <v>133.6</v>
      </c>
      <c r="N115">
        <v>182.2</v>
      </c>
      <c r="O115">
        <v>266.8</v>
      </c>
      <c r="P115">
        <v>243.5</v>
      </c>
      <c r="Q115">
        <v>139.30000000000001</v>
      </c>
      <c r="R115">
        <v>210.8</v>
      </c>
      <c r="S115" s="373">
        <f>+INDEX(Tabla2[Salarios],MATCH(YEAR(Tabla3[[#This Row],[Fecha]]),Tabla2[año],0))/Tabla3[[#This Row],[TRM año de cálculo $/USD]]</f>
        <v>282.41558624653646</v>
      </c>
      <c r="T115">
        <f>+Tabla3[[#This Row],[IPC]]/Tabla3[[#This Row],[TRM año de cálculo $/USD]]</f>
        <v>3.575553495030339E-2</v>
      </c>
      <c r="AF115" s="367">
        <f t="shared" si="1"/>
        <v>39904</v>
      </c>
      <c r="AG115" s="368">
        <v>39925</v>
      </c>
      <c r="AH115" s="369">
        <v>2338.6</v>
      </c>
    </row>
    <row r="116" spans="8:34">
      <c r="H116" s="365">
        <v>43221</v>
      </c>
      <c r="I116" s="373">
        <f>+AVERAGEIF(TRM_dia[MES],Tabla3[[#This Row],[Fecha]],TRM_dia[TRM])</f>
        <v>2861.8258064516144</v>
      </c>
      <c r="J116">
        <v>204.9</v>
      </c>
      <c r="K116">
        <v>99.16</v>
      </c>
      <c r="L116">
        <v>260.3</v>
      </c>
      <c r="M116">
        <v>133.6</v>
      </c>
      <c r="N116">
        <v>184.2</v>
      </c>
      <c r="O116">
        <v>267.8</v>
      </c>
      <c r="P116">
        <v>243.5</v>
      </c>
      <c r="Q116">
        <v>139.80000000000001</v>
      </c>
      <c r="R116">
        <v>210.6</v>
      </c>
      <c r="S116" s="373">
        <f>+INDEX(Tabla2[Salarios],MATCH(YEAR(Tabla3[[#This Row],[Fecha]]),Tabla2[año],0))/Tabla3[[#This Row],[TRM año de cálculo $/USD]]</f>
        <v>272.98726506651502</v>
      </c>
      <c r="T116">
        <f>+Tabla3[[#This Row],[IPC]]/Tabla3[[#This Row],[TRM año de cálculo $/USD]]</f>
        <v>3.4649208829012818E-2</v>
      </c>
      <c r="AF116" s="367">
        <f t="shared" si="1"/>
        <v>39904</v>
      </c>
      <c r="AG116" s="368">
        <v>39926</v>
      </c>
      <c r="AH116" s="369">
        <v>2318.83</v>
      </c>
    </row>
    <row r="117" spans="8:34">
      <c r="H117" s="365">
        <v>43252</v>
      </c>
      <c r="I117" s="373">
        <f>+AVERAGEIF(TRM_dia[MES],Tabla3[[#This Row],[Fecha]],TRM_dia[TRM])</f>
        <v>2889.6889999999994</v>
      </c>
      <c r="J117">
        <v>210</v>
      </c>
      <c r="K117">
        <v>99.31</v>
      </c>
      <c r="L117">
        <v>260.3</v>
      </c>
      <c r="M117">
        <v>133.6</v>
      </c>
      <c r="N117">
        <v>184.4</v>
      </c>
      <c r="O117">
        <v>268.2</v>
      </c>
      <c r="P117">
        <v>245.7</v>
      </c>
      <c r="Q117">
        <v>139.9</v>
      </c>
      <c r="R117">
        <v>210.6</v>
      </c>
      <c r="S117" s="373">
        <f>+INDEX(Tabla2[Salarios],MATCH(YEAR(Tabla3[[#This Row],[Fecha]]),Tabla2[año],0))/Tabla3[[#This Row],[TRM año de cálculo $/USD]]</f>
        <v>270.35504512769376</v>
      </c>
      <c r="T117">
        <f>+Tabla3[[#This Row],[IPC]]/Tabla3[[#This Row],[TRM año de cálculo $/USD]]</f>
        <v>3.4367020118774037E-2</v>
      </c>
      <c r="AF117" s="367">
        <f t="shared" si="1"/>
        <v>39904</v>
      </c>
      <c r="AG117" s="368">
        <v>39927</v>
      </c>
      <c r="AH117" s="369">
        <v>2300.7399999999998</v>
      </c>
    </row>
    <row r="118" spans="8:34">
      <c r="H118" s="365">
        <v>43282</v>
      </c>
      <c r="I118" s="373">
        <f>+AVERAGEIF(TRM_dia[MES],Tabla3[[#This Row],[Fecha]],TRM_dia[TRM])</f>
        <v>2885.3219354838693</v>
      </c>
      <c r="J118">
        <v>211.9</v>
      </c>
      <c r="K118">
        <v>99.18</v>
      </c>
      <c r="L118">
        <v>261.10000000000002</v>
      </c>
      <c r="M118">
        <v>133.80000000000001</v>
      </c>
      <c r="N118">
        <v>186.8</v>
      </c>
      <c r="O118">
        <v>268.2</v>
      </c>
      <c r="P118">
        <v>249.5</v>
      </c>
      <c r="Q118">
        <v>140</v>
      </c>
      <c r="R118">
        <v>212.6</v>
      </c>
      <c r="S118" s="373">
        <f>+INDEX(Tabla2[Salarios],MATCH(YEAR(Tabla3[[#This Row],[Fecha]]),Tabla2[año],0))/Tabla3[[#This Row],[TRM año de cálculo $/USD]]</f>
        <v>270.76423964765843</v>
      </c>
      <c r="T118">
        <f>+Tabla3[[#This Row],[IPC]]/Tabla3[[#This Row],[TRM año de cálculo $/USD]]</f>
        <v>3.4373980518526609E-2</v>
      </c>
      <c r="AF118" s="367">
        <f t="shared" si="1"/>
        <v>39904</v>
      </c>
      <c r="AG118" s="368">
        <v>39928</v>
      </c>
      <c r="AH118" s="369">
        <v>2283.1999999999998</v>
      </c>
    </row>
    <row r="119" spans="8:34">
      <c r="H119" s="365">
        <v>43313</v>
      </c>
      <c r="I119" s="373">
        <f>+AVERAGEIF(TRM_dia[MES],Tabla3[[#This Row],[Fecha]],TRM_dia[TRM])</f>
        <v>2958.666774193548</v>
      </c>
      <c r="J119">
        <v>216.9</v>
      </c>
      <c r="K119">
        <v>99.3</v>
      </c>
      <c r="L119">
        <v>262.5</v>
      </c>
      <c r="M119">
        <v>133.80000000000001</v>
      </c>
      <c r="N119">
        <v>187</v>
      </c>
      <c r="O119">
        <v>269.7</v>
      </c>
      <c r="P119">
        <v>250.1</v>
      </c>
      <c r="Q119">
        <v>139.1</v>
      </c>
      <c r="R119">
        <v>212.7</v>
      </c>
      <c r="S119" s="373">
        <f>+INDEX(Tabla2[Salarios],MATCH(YEAR(Tabla3[[#This Row],[Fecha]]),Tabla2[año],0))/Tabla3[[#This Row],[TRM año de cálculo $/USD]]</f>
        <v>264.05204087673758</v>
      </c>
      <c r="T119">
        <f>+Tabla3[[#This Row],[IPC]]/Tabla3[[#This Row],[TRM año de cálculo $/USD]]</f>
        <v>3.3562414282719104E-2</v>
      </c>
      <c r="AF119" s="367">
        <f t="shared" si="1"/>
        <v>39904</v>
      </c>
      <c r="AG119" s="368">
        <v>39929</v>
      </c>
      <c r="AH119" s="369">
        <v>2283.1999999999998</v>
      </c>
    </row>
    <row r="120" spans="8:34">
      <c r="H120" s="365">
        <v>43344</v>
      </c>
      <c r="I120" s="373">
        <f>+AVERAGEIF(TRM_dia[MES],Tabla3[[#This Row],[Fecha]],TRM_dia[TRM])</f>
        <v>3033.7680000000005</v>
      </c>
      <c r="J120">
        <v>218.1</v>
      </c>
      <c r="K120">
        <v>99.47</v>
      </c>
      <c r="L120">
        <v>263.3</v>
      </c>
      <c r="M120">
        <v>134.6</v>
      </c>
      <c r="N120">
        <v>187</v>
      </c>
      <c r="O120">
        <v>282.3</v>
      </c>
      <c r="P120">
        <v>249.8</v>
      </c>
      <c r="Q120">
        <v>139.19999999999999</v>
      </c>
      <c r="R120">
        <v>212.8</v>
      </c>
      <c r="S120" s="373">
        <f>+INDEX(Tabla2[Salarios],MATCH(YEAR(Tabla3[[#This Row],[Fecha]]),Tabla2[año],0))/Tabla3[[#This Row],[TRM año de cálculo $/USD]]</f>
        <v>257.51540658349614</v>
      </c>
      <c r="T120">
        <f>+Tabla3[[#This Row],[IPC]]/Tabla3[[#This Row],[TRM año de cálculo $/USD]]</f>
        <v>3.2787609335980863E-2</v>
      </c>
      <c r="AF120" s="367">
        <f t="shared" si="1"/>
        <v>39904</v>
      </c>
      <c r="AG120" s="368">
        <v>39930</v>
      </c>
      <c r="AH120" s="369">
        <v>2283.1999999999998</v>
      </c>
    </row>
    <row r="121" spans="8:34">
      <c r="H121" s="365">
        <v>43374</v>
      </c>
      <c r="I121" s="373">
        <f>+AVERAGEIF(TRM_dia[MES],Tabla3[[#This Row],[Fecha]],TRM_dia[TRM])</f>
        <v>3084.8309677419347</v>
      </c>
      <c r="J121">
        <v>217.4</v>
      </c>
      <c r="K121">
        <v>99.59</v>
      </c>
      <c r="L121">
        <v>264.3</v>
      </c>
      <c r="M121">
        <v>134.80000000000001</v>
      </c>
      <c r="N121">
        <v>187</v>
      </c>
      <c r="O121">
        <v>282.3</v>
      </c>
      <c r="P121">
        <v>249.7</v>
      </c>
      <c r="Q121">
        <v>139.9</v>
      </c>
      <c r="R121">
        <v>213</v>
      </c>
      <c r="S121" s="373">
        <f>+INDEX(Tabla2[Salarios],MATCH(YEAR(Tabla3[[#This Row],[Fecha]]),Tabla2[año],0))/Tabla3[[#This Row],[TRM año de cálculo $/USD]]</f>
        <v>253.25277403184955</v>
      </c>
      <c r="T121">
        <f>+Tabla3[[#This Row],[IPC]]/Tabla3[[#This Row],[TRM año de cálculo $/USD]]</f>
        <v>3.2283778606157755E-2</v>
      </c>
      <c r="AF121" s="367">
        <f t="shared" si="1"/>
        <v>39904</v>
      </c>
      <c r="AG121" s="368">
        <v>39931</v>
      </c>
      <c r="AH121" s="369">
        <v>2325.02</v>
      </c>
    </row>
    <row r="122" spans="8:34">
      <c r="H122" s="365">
        <v>43405</v>
      </c>
      <c r="I122" s="373">
        <f>+AVERAGEIF(TRM_dia[MES],Tabla3[[#This Row],[Fecha]],TRM_dia[TRM])</f>
        <v>3194.0343333333317</v>
      </c>
      <c r="J122">
        <v>217.2</v>
      </c>
      <c r="K122">
        <v>99.7</v>
      </c>
      <c r="L122">
        <v>264.3</v>
      </c>
      <c r="M122">
        <v>134.9</v>
      </c>
      <c r="N122">
        <v>187.2</v>
      </c>
      <c r="O122">
        <v>282.3</v>
      </c>
      <c r="P122">
        <v>250.1</v>
      </c>
      <c r="Q122">
        <v>139.9</v>
      </c>
      <c r="R122">
        <v>213</v>
      </c>
      <c r="S122" s="373">
        <f>+INDEX(Tabla2[Salarios],MATCH(YEAR(Tabla3[[#This Row],[Fecha]]),Tabla2[año],0))/Tabla3[[#This Row],[TRM año de cálculo $/USD]]</f>
        <v>244.59411467399184</v>
      </c>
      <c r="T122">
        <f>+Tabla3[[#This Row],[IPC]]/Tabla3[[#This Row],[TRM año de cálculo $/USD]]</f>
        <v>3.1214442174124005E-2</v>
      </c>
      <c r="AF122" s="367">
        <f t="shared" si="1"/>
        <v>39904</v>
      </c>
      <c r="AG122" s="368">
        <v>39932</v>
      </c>
      <c r="AH122" s="369">
        <v>2332.4699999999998</v>
      </c>
    </row>
    <row r="123" spans="8:34">
      <c r="H123" s="365">
        <v>43435</v>
      </c>
      <c r="I123" s="373">
        <f>+AVERAGEIF(TRM_dia[MES],Tabla3[[#This Row],[Fecha]],TRM_dia[TRM])</f>
        <v>3218.550967741935</v>
      </c>
      <c r="J123">
        <v>218.2</v>
      </c>
      <c r="K123">
        <v>100</v>
      </c>
      <c r="L123">
        <v>264.60000000000002</v>
      </c>
      <c r="M123">
        <v>134.9</v>
      </c>
      <c r="N123">
        <v>187.7</v>
      </c>
      <c r="O123">
        <v>282.3</v>
      </c>
      <c r="P123">
        <v>250.2</v>
      </c>
      <c r="Q123">
        <v>139.9</v>
      </c>
      <c r="R123">
        <v>213.6</v>
      </c>
      <c r="S123" s="373">
        <f>+INDEX(Tabla2[Salarios],MATCH(YEAR(Tabla3[[#This Row],[Fecha]]),Tabla2[año],0))/Tabla3[[#This Row],[TRM año de cálculo $/USD]]</f>
        <v>242.73097049884603</v>
      </c>
      <c r="T123">
        <f>+Tabla3[[#This Row],[IPC]]/Tabla3[[#This Row],[TRM año de cálculo $/USD]]</f>
        <v>3.1069882379447859E-2</v>
      </c>
      <c r="AF123" s="367">
        <f t="shared" si="1"/>
        <v>39904</v>
      </c>
      <c r="AG123" s="368">
        <v>39933</v>
      </c>
      <c r="AH123" s="369">
        <v>2289.73</v>
      </c>
    </row>
    <row r="124" spans="8:34">
      <c r="H124" s="365">
        <v>43466</v>
      </c>
      <c r="I124" s="373">
        <f>+AVERAGEIF(TRM_dia[MES],Tabla3[[#This Row],[Fecha]],TRM_dia[TRM])</f>
        <v>3165.1880645161295</v>
      </c>
      <c r="J124">
        <v>218.5</v>
      </c>
      <c r="K124">
        <v>100.6</v>
      </c>
      <c r="L124">
        <v>269.2</v>
      </c>
      <c r="M124">
        <v>136.69999999999999</v>
      </c>
      <c r="N124">
        <v>190.5</v>
      </c>
      <c r="O124">
        <v>282.39999999999998</v>
      </c>
      <c r="P124">
        <v>249.9</v>
      </c>
      <c r="Q124">
        <v>140.1</v>
      </c>
      <c r="R124">
        <v>213.7</v>
      </c>
      <c r="S124" s="373">
        <f>+INDEX(Tabla2[Salarios],MATCH(YEAR(Tabla3[[#This Row],[Fecha]]),Tabla2[año],0))/Tabla3[[#This Row],[TRM año de cálculo $/USD]]</f>
        <v>261.63247905668953</v>
      </c>
      <c r="T124">
        <f>+Tabla3[[#This Row],[IPC]]/Tabla3[[#This Row],[TRM año de cálculo $/USD]]</f>
        <v>3.1783261515419298E-2</v>
      </c>
      <c r="AF124" s="367">
        <f t="shared" si="1"/>
        <v>39934</v>
      </c>
      <c r="AG124" s="368">
        <v>39934</v>
      </c>
      <c r="AH124" s="369">
        <v>2288.64</v>
      </c>
    </row>
    <row r="125" spans="8:34">
      <c r="H125" s="365">
        <v>43497</v>
      </c>
      <c r="I125" s="373">
        <f>+AVERAGEIF(TRM_dia[MES],Tabla3[[#This Row],[Fecha]],TRM_dia[TRM])</f>
        <v>3115.83857142857</v>
      </c>
      <c r="J125">
        <v>217</v>
      </c>
      <c r="K125">
        <v>101.18</v>
      </c>
      <c r="L125">
        <v>270.8</v>
      </c>
      <c r="M125">
        <v>137.5</v>
      </c>
      <c r="N125">
        <v>190.5</v>
      </c>
      <c r="O125">
        <v>282.39999999999998</v>
      </c>
      <c r="P125">
        <v>249.7</v>
      </c>
      <c r="Q125">
        <v>140.80000000000001</v>
      </c>
      <c r="R125">
        <v>213.7</v>
      </c>
      <c r="S125" s="373">
        <f>+INDEX(Tabla2[Salarios],MATCH(YEAR(Tabla3[[#This Row],[Fecha]]),Tabla2[año],0))/Tabla3[[#This Row],[TRM año de cálculo $/USD]]</f>
        <v>265.7762849441587</v>
      </c>
      <c r="T125">
        <f>+Tabla3[[#This Row],[IPC]]/Tabla3[[#This Row],[TRM año de cálculo $/USD]]</f>
        <v>3.2472799113469585E-2</v>
      </c>
      <c r="AF125" s="367">
        <f t="shared" si="1"/>
        <v>39934</v>
      </c>
      <c r="AG125" s="368">
        <v>39935</v>
      </c>
      <c r="AH125" s="369">
        <v>2288.64</v>
      </c>
    </row>
    <row r="126" spans="8:34">
      <c r="H126" s="365">
        <v>43525</v>
      </c>
      <c r="I126" s="373">
        <f>+AVERAGEIF(TRM_dia[MES],Tabla3[[#This Row],[Fecha]],TRM_dia[TRM])</f>
        <v>3128.6841935483867</v>
      </c>
      <c r="J126">
        <v>216.1</v>
      </c>
      <c r="K126">
        <v>101.62</v>
      </c>
      <c r="L126">
        <v>271.39999999999998</v>
      </c>
      <c r="M126">
        <v>137.5</v>
      </c>
      <c r="N126">
        <v>190.8</v>
      </c>
      <c r="O126">
        <v>283.39999999999998</v>
      </c>
      <c r="P126">
        <v>252</v>
      </c>
      <c r="Q126">
        <v>140.80000000000001</v>
      </c>
      <c r="R126">
        <v>213.7</v>
      </c>
      <c r="S126" s="373">
        <f>+INDEX(Tabla2[Salarios],MATCH(YEAR(Tabla3[[#This Row],[Fecha]]),Tabla2[año],0))/Tabla3[[#This Row],[TRM año de cálculo $/USD]]</f>
        <v>264.68507166931255</v>
      </c>
      <c r="T126">
        <f>+Tabla3[[#This Row],[IPC]]/Tabla3[[#This Row],[TRM año de cálculo $/USD]]</f>
        <v>3.2480107838799809E-2</v>
      </c>
      <c r="AF126" s="367">
        <f t="shared" si="1"/>
        <v>39934</v>
      </c>
      <c r="AG126" s="368">
        <v>39936</v>
      </c>
      <c r="AH126" s="369">
        <v>2288.64</v>
      </c>
    </row>
    <row r="127" spans="8:34">
      <c r="H127" s="365">
        <v>43556</v>
      </c>
      <c r="I127" s="373">
        <f>+AVERAGEIF(TRM_dia[MES],Tabla3[[#This Row],[Fecha]],TRM_dia[TRM])</f>
        <v>3155.7649999999999</v>
      </c>
      <c r="J127">
        <v>216.7</v>
      </c>
      <c r="K127">
        <v>102.12</v>
      </c>
      <c r="L127">
        <v>271.89999999999998</v>
      </c>
      <c r="M127">
        <v>139.30000000000001</v>
      </c>
      <c r="N127">
        <v>190.8</v>
      </c>
      <c r="O127">
        <v>283.39999999999998</v>
      </c>
      <c r="P127">
        <v>251.4</v>
      </c>
      <c r="Q127">
        <v>141.1</v>
      </c>
      <c r="R127">
        <v>213.7</v>
      </c>
      <c r="S127" s="373">
        <f>+INDEX(Tabla2[Salarios],MATCH(YEAR(Tabla3[[#This Row],[Fecha]]),Tabla2[año],0))/Tabla3[[#This Row],[TRM año de cálculo $/USD]]</f>
        <v>262.41370951259046</v>
      </c>
      <c r="T127">
        <f>+Tabla3[[#This Row],[IPC]]/Tabla3[[#This Row],[TRM año de cálculo $/USD]]</f>
        <v>3.2359824004639132E-2</v>
      </c>
      <c r="AF127" s="367">
        <f t="shared" si="1"/>
        <v>39934</v>
      </c>
      <c r="AG127" s="368">
        <v>39937</v>
      </c>
      <c r="AH127" s="369">
        <v>2288.64</v>
      </c>
    </row>
    <row r="128" spans="8:34">
      <c r="H128" s="365">
        <v>43586</v>
      </c>
      <c r="I128" s="373">
        <f>+AVERAGEIF(TRM_dia[MES],Tabla3[[#This Row],[Fecha]],TRM_dia[TRM])</f>
        <v>3304.494516129032</v>
      </c>
      <c r="J128">
        <v>213.7</v>
      </c>
      <c r="K128">
        <v>102.44</v>
      </c>
      <c r="L128">
        <v>271.89999999999998</v>
      </c>
      <c r="M128">
        <v>139.30000000000001</v>
      </c>
      <c r="N128">
        <v>192.4</v>
      </c>
      <c r="O128">
        <v>283.39999999999998</v>
      </c>
      <c r="P128">
        <v>252.1</v>
      </c>
      <c r="Q128">
        <v>141.1</v>
      </c>
      <c r="R128">
        <v>213.7</v>
      </c>
      <c r="S128" s="373">
        <f>+INDEX(Tabla2[Salarios],MATCH(YEAR(Tabla3[[#This Row],[Fecha]]),Tabla2[año],0))/Tabla3[[#This Row],[TRM año de cálculo $/USD]]</f>
        <v>250.60292760602789</v>
      </c>
      <c r="T128">
        <f>+Tabla3[[#This Row],[IPC]]/Tabla3[[#This Row],[TRM año de cálculo $/USD]]</f>
        <v>3.1000202754157023E-2</v>
      </c>
      <c r="AF128" s="367">
        <f t="shared" si="1"/>
        <v>39934</v>
      </c>
      <c r="AG128" s="368">
        <v>39938</v>
      </c>
      <c r="AH128" s="369">
        <v>2272.5500000000002</v>
      </c>
    </row>
    <row r="129" spans="8:34">
      <c r="H129" s="365">
        <v>43617</v>
      </c>
      <c r="I129" s="373">
        <f>+AVERAGEIF(TRM_dia[MES],Tabla3[[#This Row],[Fecha]],TRM_dia[TRM])</f>
        <v>3260.5169999999989</v>
      </c>
      <c r="J129">
        <v>211.2</v>
      </c>
      <c r="K129">
        <v>102.71</v>
      </c>
      <c r="L129">
        <v>272.2</v>
      </c>
      <c r="M129">
        <v>139.30000000000001</v>
      </c>
      <c r="N129">
        <v>192.4</v>
      </c>
      <c r="O129">
        <v>283.39999999999998</v>
      </c>
      <c r="P129">
        <v>251.7</v>
      </c>
      <c r="Q129">
        <v>140.6</v>
      </c>
      <c r="R129">
        <v>214.9</v>
      </c>
      <c r="S129" s="373">
        <f>+INDEX(Tabla2[Salarios],MATCH(YEAR(Tabla3[[#This Row],[Fecha]]),Tabla2[año],0))/Tabla3[[#This Row],[TRM año de cálculo $/USD]]</f>
        <v>253.98303397896723</v>
      </c>
      <c r="T129">
        <f>+Tabla3[[#This Row],[IPC]]/Tabla3[[#This Row],[TRM año de cálculo $/USD]]</f>
        <v>3.1501139236507596E-2</v>
      </c>
      <c r="AF129" s="367">
        <f t="shared" si="1"/>
        <v>39934</v>
      </c>
      <c r="AG129" s="368">
        <v>39939</v>
      </c>
      <c r="AH129" s="369">
        <v>2256.9899999999998</v>
      </c>
    </row>
    <row r="130" spans="8:34">
      <c r="H130" s="365">
        <v>43647</v>
      </c>
      <c r="I130" s="373">
        <f>+AVERAGEIF(TRM_dia[MES],Tabla3[[#This Row],[Fecha]],TRM_dia[TRM])</f>
        <v>3206.6003225806448</v>
      </c>
      <c r="J130">
        <v>202.4</v>
      </c>
      <c r="K130">
        <v>102.94</v>
      </c>
      <c r="L130">
        <v>272.2</v>
      </c>
      <c r="M130">
        <v>139.80000000000001</v>
      </c>
      <c r="N130">
        <v>192.5</v>
      </c>
      <c r="O130">
        <v>283.39999999999998</v>
      </c>
      <c r="P130">
        <v>252.8</v>
      </c>
      <c r="Q130">
        <v>140.19999999999999</v>
      </c>
      <c r="R130">
        <v>214.9</v>
      </c>
      <c r="S130" s="373">
        <f>+INDEX(Tabla2[Salarios],MATCH(YEAR(Tabla3[[#This Row],[Fecha]]),Tabla2[año],0))/Tabla3[[#This Row],[TRM año de cálculo $/USD]]</f>
        <v>258.25357596594364</v>
      </c>
      <c r="T130">
        <f>+Tabla3[[#This Row],[IPC]]/Tabla3[[#This Row],[TRM año de cálculo $/USD]]</f>
        <v>3.2102535284832368E-2</v>
      </c>
      <c r="AF130" s="367">
        <f t="shared" si="1"/>
        <v>39934</v>
      </c>
      <c r="AG130" s="368">
        <v>39940</v>
      </c>
      <c r="AH130" s="369">
        <v>2233.5</v>
      </c>
    </row>
    <row r="131" spans="8:34">
      <c r="H131" s="365">
        <v>43678</v>
      </c>
      <c r="I131" s="373">
        <f>+AVERAGEIF(TRM_dia[MES],Tabla3[[#This Row],[Fecha]],TRM_dia[TRM])</f>
        <v>3410.7290322580643</v>
      </c>
      <c r="J131">
        <v>199.1</v>
      </c>
      <c r="K131">
        <v>103.03</v>
      </c>
      <c r="L131">
        <v>272.89999999999998</v>
      </c>
      <c r="M131">
        <v>139.80000000000001</v>
      </c>
      <c r="N131">
        <v>192.5</v>
      </c>
      <c r="O131">
        <v>283.39999999999998</v>
      </c>
      <c r="P131">
        <v>251.6</v>
      </c>
      <c r="Q131">
        <v>140.4</v>
      </c>
      <c r="R131">
        <v>215.5</v>
      </c>
      <c r="S131" s="373">
        <f>+INDEX(Tabla2[Salarios],MATCH(YEAR(Tabla3[[#This Row],[Fecha]]),Tabla2[año],0))/Tabla3[[#This Row],[TRM año de cálculo $/USD]]</f>
        <v>242.79735861976346</v>
      </c>
      <c r="T131">
        <f>+Tabla3[[#This Row],[IPC]]/Tabla3[[#This Row],[TRM año de cálculo $/USD]]</f>
        <v>3.0207618085623548E-2</v>
      </c>
      <c r="AF131" s="367">
        <f t="shared" si="1"/>
        <v>39934</v>
      </c>
      <c r="AG131" s="368">
        <v>39941</v>
      </c>
      <c r="AH131" s="369">
        <v>2208.98</v>
      </c>
    </row>
    <row r="132" spans="8:34">
      <c r="H132" s="365">
        <v>43709</v>
      </c>
      <c r="I132" s="373">
        <f>+AVERAGEIF(TRM_dia[MES],Tabla3[[#This Row],[Fecha]],TRM_dia[TRM])</f>
        <v>3399.4570000000008</v>
      </c>
      <c r="J132">
        <v>197.9</v>
      </c>
      <c r="K132">
        <v>103.26</v>
      </c>
      <c r="L132">
        <v>273.2</v>
      </c>
      <c r="M132">
        <v>139.80000000000001</v>
      </c>
      <c r="N132">
        <v>192.5</v>
      </c>
      <c r="O132">
        <v>283.39999999999998</v>
      </c>
      <c r="P132">
        <v>252.3</v>
      </c>
      <c r="Q132">
        <v>140</v>
      </c>
      <c r="R132">
        <v>218.7</v>
      </c>
      <c r="S132" s="373">
        <f>+INDEX(Tabla2[Salarios],MATCH(YEAR(Tabla3[[#This Row],[Fecha]]),Tabla2[año],0))/Tabla3[[#This Row],[TRM año de cálculo $/USD]]</f>
        <v>243.60243415345445</v>
      </c>
      <c r="T132">
        <f>+Tabla3[[#This Row],[IPC]]/Tabla3[[#This Row],[TRM año de cálculo $/USD]]</f>
        <v>3.0375439371640819E-2</v>
      </c>
      <c r="AF132" s="367">
        <f t="shared" ref="AF132:AF195" si="2">+DATE(YEAR(AG132),MONTH(AG132),1)</f>
        <v>39934</v>
      </c>
      <c r="AG132" s="368">
        <v>39942</v>
      </c>
      <c r="AH132" s="369">
        <v>2210.35</v>
      </c>
    </row>
    <row r="133" spans="8:34">
      <c r="H133" s="365">
        <v>43739</v>
      </c>
      <c r="I133" s="373">
        <f>+AVERAGEIF(TRM_dia[MES],Tabla3[[#This Row],[Fecha]],TRM_dia[TRM])</f>
        <v>3433.311612903226</v>
      </c>
      <c r="J133">
        <v>193.1</v>
      </c>
      <c r="K133">
        <v>103.43</v>
      </c>
      <c r="L133">
        <v>273.2</v>
      </c>
      <c r="M133">
        <v>139.80000000000001</v>
      </c>
      <c r="N133">
        <v>192.5</v>
      </c>
      <c r="O133">
        <v>283.39999999999998</v>
      </c>
      <c r="P133">
        <v>252.2</v>
      </c>
      <c r="Q133">
        <v>140</v>
      </c>
      <c r="R133">
        <v>216.1</v>
      </c>
      <c r="S133" s="373">
        <f>+INDEX(Tabla2[Salarios],MATCH(YEAR(Tabla3[[#This Row],[Fecha]]),Tabla2[año],0))/Tabla3[[#This Row],[TRM año de cálculo $/USD]]</f>
        <v>241.2003608666738</v>
      </c>
      <c r="T133">
        <f>+Tabla3[[#This Row],[IPC]]/Tabla3[[#This Row],[TRM año de cálculo $/USD]]</f>
        <v>3.0125433302146166E-2</v>
      </c>
      <c r="AF133" s="367">
        <f t="shared" si="2"/>
        <v>39934</v>
      </c>
      <c r="AG133" s="368">
        <v>39943</v>
      </c>
      <c r="AH133" s="369">
        <v>2210.35</v>
      </c>
    </row>
    <row r="134" spans="8:34">
      <c r="H134" s="365">
        <v>43770</v>
      </c>
      <c r="I134" s="373">
        <f>+AVERAGEIF(TRM_dia[MES],Tabla3[[#This Row],[Fecha]],TRM_dia[TRM])</f>
        <v>3401.4730000000004</v>
      </c>
      <c r="J134">
        <v>189.6</v>
      </c>
      <c r="K134">
        <v>103.54</v>
      </c>
      <c r="L134">
        <v>273.89999999999998</v>
      </c>
      <c r="M134">
        <v>139.80000000000001</v>
      </c>
      <c r="N134">
        <v>192.5</v>
      </c>
      <c r="O134">
        <v>283.39999999999998</v>
      </c>
      <c r="P134">
        <v>254</v>
      </c>
      <c r="Q134">
        <v>140</v>
      </c>
      <c r="R134">
        <v>216.3</v>
      </c>
      <c r="S134" s="373">
        <f>+INDEX(Tabla2[Salarios],MATCH(YEAR(Tabla3[[#This Row],[Fecha]]),Tabla2[año],0))/Tabla3[[#This Row],[TRM año de cálculo $/USD]]</f>
        <v>243.4580547897925</v>
      </c>
      <c r="T134">
        <f>+Tabla3[[#This Row],[IPC]]/Tabla3[[#This Row],[TRM año de cálculo $/USD]]</f>
        <v>3.0439753600866447E-2</v>
      </c>
      <c r="AF134" s="367">
        <f t="shared" si="2"/>
        <v>39934</v>
      </c>
      <c r="AG134" s="368">
        <v>39944</v>
      </c>
      <c r="AH134" s="369">
        <v>2210.35</v>
      </c>
    </row>
    <row r="135" spans="8:34">
      <c r="H135" s="365">
        <v>43800</v>
      </c>
      <c r="I135" s="373">
        <f>+AVERAGEIF(TRM_dia[MES],Tabla3[[#This Row],[Fecha]],TRM_dia[TRM])</f>
        <v>3378.050645161291</v>
      </c>
      <c r="J135">
        <v>186.1</v>
      </c>
      <c r="K135">
        <v>103.8</v>
      </c>
      <c r="L135">
        <v>273.89999999999998</v>
      </c>
      <c r="M135">
        <v>139.80000000000001</v>
      </c>
      <c r="N135">
        <v>192.5</v>
      </c>
      <c r="O135">
        <v>283.60000000000002</v>
      </c>
      <c r="P135">
        <v>256.10000000000002</v>
      </c>
      <c r="Q135">
        <v>140.1</v>
      </c>
      <c r="R135">
        <v>216.2</v>
      </c>
      <c r="S135" s="373">
        <f>+INDEX(Tabla2[Salarios],MATCH(YEAR(Tabla3[[#This Row],[Fecha]]),Tabla2[año],0))/Tabla3[[#This Row],[TRM año de cálculo $/USD]]</f>
        <v>245.14611738760954</v>
      </c>
      <c r="T135">
        <f>+Tabla3[[#This Row],[IPC]]/Tabla3[[#This Row],[TRM año de cálculo $/USD]]</f>
        <v>3.0727780872285851E-2</v>
      </c>
      <c r="AF135" s="367">
        <f t="shared" si="2"/>
        <v>39934</v>
      </c>
      <c r="AG135" s="368">
        <v>39945</v>
      </c>
      <c r="AH135" s="369">
        <v>2220.92</v>
      </c>
    </row>
    <row r="136" spans="8:34">
      <c r="H136" s="365">
        <v>43831</v>
      </c>
      <c r="I136" s="373">
        <f>+AVERAGEIF(TRM_dia[MES],Tabla3[[#This Row],[Fecha]],TRM_dia[TRM])</f>
        <v>3311.1893548387097</v>
      </c>
      <c r="J136">
        <v>188.9</v>
      </c>
      <c r="K136">
        <v>104.24</v>
      </c>
      <c r="L136">
        <v>275.3</v>
      </c>
      <c r="M136">
        <v>135.6</v>
      </c>
      <c r="N136">
        <v>192.8</v>
      </c>
      <c r="O136">
        <v>283.60000000000002</v>
      </c>
      <c r="P136">
        <v>255.5</v>
      </c>
      <c r="Q136">
        <v>142.1</v>
      </c>
      <c r="R136">
        <v>217</v>
      </c>
      <c r="S136" s="373">
        <f>+INDEX(Tabla2[Salarios],MATCH(YEAR(Tabla3[[#This Row],[Fecha]]),Tabla2[año],0))/Tabla3[[#This Row],[TRM año de cálculo $/USD]]</f>
        <v>265.10202405587233</v>
      </c>
      <c r="T136">
        <f>+Tabla3[[#This Row],[IPC]]/Tabla3[[#This Row],[TRM año de cálculo $/USD]]</f>
        <v>3.1481135274753137E-2</v>
      </c>
      <c r="AF136" s="367">
        <f t="shared" si="2"/>
        <v>39934</v>
      </c>
      <c r="AG136" s="368">
        <v>39946</v>
      </c>
      <c r="AH136" s="369">
        <v>2221.4</v>
      </c>
    </row>
    <row r="137" spans="8:34">
      <c r="H137" s="365">
        <v>43862</v>
      </c>
      <c r="I137" s="373">
        <f>+AVERAGEIF(TRM_dia[MES],Tabla3[[#This Row],[Fecha]],TRM_dia[TRM])</f>
        <v>3411.0527586206899</v>
      </c>
      <c r="J137">
        <v>188.3</v>
      </c>
      <c r="K137">
        <v>104.94</v>
      </c>
      <c r="L137">
        <v>276.2</v>
      </c>
      <c r="M137">
        <v>135.69999999999999</v>
      </c>
      <c r="N137">
        <v>192.8</v>
      </c>
      <c r="O137">
        <v>283.60000000000002</v>
      </c>
      <c r="P137">
        <v>256.2</v>
      </c>
      <c r="Q137">
        <v>143.9</v>
      </c>
      <c r="R137">
        <v>217</v>
      </c>
      <c r="S137" s="373">
        <f>+INDEX(Tabla2[Salarios],MATCH(YEAR(Tabla3[[#This Row],[Fecha]]),Tabla2[año],0))/Tabla3[[#This Row],[TRM año de cálculo $/USD]]</f>
        <v>257.34078658899216</v>
      </c>
      <c r="T137">
        <f>+Tabla3[[#This Row],[IPC]]/Tabla3[[#This Row],[TRM año de cálculo $/USD]]</f>
        <v>3.0764695660243629E-2</v>
      </c>
      <c r="AF137" s="367">
        <f t="shared" si="2"/>
        <v>39934</v>
      </c>
      <c r="AG137" s="368">
        <v>39947</v>
      </c>
      <c r="AH137" s="369">
        <v>2257.36</v>
      </c>
    </row>
    <row r="138" spans="8:34">
      <c r="H138" s="365">
        <v>43891</v>
      </c>
      <c r="I138" s="373">
        <f>+AVERAGEIF(TRM_dia[MES],Tabla3[[#This Row],[Fecha]],TRM_dia[TRM])</f>
        <v>3877.0483870967751</v>
      </c>
      <c r="J138">
        <v>191.1</v>
      </c>
      <c r="K138">
        <v>105.53</v>
      </c>
      <c r="L138">
        <v>276.7</v>
      </c>
      <c r="M138">
        <v>135.69999999999999</v>
      </c>
      <c r="N138">
        <v>192.8</v>
      </c>
      <c r="O138">
        <v>283.60000000000002</v>
      </c>
      <c r="P138">
        <v>255.3</v>
      </c>
      <c r="Q138">
        <v>143.9</v>
      </c>
      <c r="R138">
        <v>217</v>
      </c>
      <c r="S138" s="373">
        <f>+INDEX(Tabla2[Salarios],MATCH(YEAR(Tabla3[[#This Row],[Fecha]]),Tabla2[año],0))/Tabla3[[#This Row],[TRM año de cálculo $/USD]]</f>
        <v>226.41012243267861</v>
      </c>
      <c r="T138">
        <f>+Tabla3[[#This Row],[IPC]]/Tabla3[[#This Row],[TRM año de cálculo $/USD]]</f>
        <v>2.7219159902985721E-2</v>
      </c>
      <c r="AF138" s="367">
        <f t="shared" si="2"/>
        <v>39934</v>
      </c>
      <c r="AG138" s="368">
        <v>39948</v>
      </c>
      <c r="AH138" s="369">
        <v>2251.5300000000002</v>
      </c>
    </row>
    <row r="139" spans="8:34">
      <c r="H139" s="365">
        <v>43922</v>
      </c>
      <c r="I139" s="373">
        <f>+AVERAGEIF(TRM_dia[MES],Tabla3[[#This Row],[Fecha]],TRM_dia[TRM])</f>
        <v>3977.3933333333321</v>
      </c>
      <c r="J139">
        <v>191.4</v>
      </c>
      <c r="K139">
        <v>105.7</v>
      </c>
      <c r="L139">
        <v>276.2</v>
      </c>
      <c r="M139">
        <v>135.69999999999999</v>
      </c>
      <c r="N139">
        <v>192.8</v>
      </c>
      <c r="O139">
        <v>283.39999999999998</v>
      </c>
      <c r="P139">
        <v>253.1</v>
      </c>
      <c r="Q139">
        <v>143.9</v>
      </c>
      <c r="R139">
        <v>218.5</v>
      </c>
      <c r="S139" s="373">
        <f>+INDEX(Tabla2[Salarios],MATCH(YEAR(Tabla3[[#This Row],[Fecha]]),Tabla2[año],0))/Tabla3[[#This Row],[TRM año de cálculo $/USD]]</f>
        <v>220.69806187972364</v>
      </c>
      <c r="T139">
        <f>+Tabla3[[#This Row],[IPC]]/Tabla3[[#This Row],[TRM año de cálculo $/USD]]</f>
        <v>2.6575194138874884E-2</v>
      </c>
      <c r="AF139" s="367">
        <f t="shared" si="2"/>
        <v>39934</v>
      </c>
      <c r="AG139" s="368">
        <v>39949</v>
      </c>
      <c r="AH139" s="369">
        <v>2252.8000000000002</v>
      </c>
    </row>
    <row r="140" spans="8:34">
      <c r="H140" s="365">
        <v>43952</v>
      </c>
      <c r="I140" s="373">
        <f>+AVERAGEIF(TRM_dia[MES],Tabla3[[#This Row],[Fecha]],TRM_dia[TRM])</f>
        <v>3858.1916129032265</v>
      </c>
      <c r="J140">
        <v>188.8</v>
      </c>
      <c r="K140">
        <v>105.36</v>
      </c>
      <c r="L140">
        <v>276</v>
      </c>
      <c r="M140">
        <v>135.80000000000001</v>
      </c>
      <c r="N140">
        <v>193</v>
      </c>
      <c r="O140">
        <v>283.39999999999998</v>
      </c>
      <c r="P140">
        <v>251.6</v>
      </c>
      <c r="Q140">
        <v>143.80000000000001</v>
      </c>
      <c r="R140">
        <v>218.4</v>
      </c>
      <c r="S140" s="373">
        <f>+INDEX(Tabla2[Salarios],MATCH(YEAR(Tabla3[[#This Row],[Fecha]]),Tabla2[año],0))/Tabla3[[#This Row],[TRM año de cálculo $/USD]]</f>
        <v>227.51669384804543</v>
      </c>
      <c r="T140">
        <f>+Tabla3[[#This Row],[IPC]]/Tabla3[[#This Row],[TRM año de cálculo $/USD]]</f>
        <v>2.7308130484664631E-2</v>
      </c>
      <c r="AF140" s="367">
        <f t="shared" si="2"/>
        <v>39934</v>
      </c>
      <c r="AG140" s="368">
        <v>39950</v>
      </c>
      <c r="AH140" s="369">
        <v>2252.8000000000002</v>
      </c>
    </row>
    <row r="141" spans="8:34">
      <c r="H141" s="365">
        <v>43983</v>
      </c>
      <c r="I141" s="373">
        <f>+AVERAGEIF(TRM_dia[MES],Tabla3[[#This Row],[Fecha]],TRM_dia[TRM])</f>
        <v>3701.6043333333346</v>
      </c>
      <c r="J141">
        <v>185.9</v>
      </c>
      <c r="K141">
        <v>104.97</v>
      </c>
      <c r="L141">
        <v>276</v>
      </c>
      <c r="M141">
        <v>135.69999999999999</v>
      </c>
      <c r="N141">
        <v>192.9</v>
      </c>
      <c r="O141">
        <v>283.39999999999998</v>
      </c>
      <c r="P141">
        <v>252.1</v>
      </c>
      <c r="Q141">
        <v>144.1</v>
      </c>
      <c r="R141">
        <v>218.4</v>
      </c>
      <c r="S141" s="373">
        <f>+INDEX(Tabla2[Salarios],MATCH(YEAR(Tabla3[[#This Row],[Fecha]]),Tabla2[año],0))/Tabla3[[#This Row],[TRM año de cálculo $/USD]]</f>
        <v>237.14122876269948</v>
      </c>
      <c r="T141">
        <f>+Tabla3[[#This Row],[IPC]]/Tabla3[[#This Row],[TRM año de cálculo $/USD]]</f>
        <v>2.835797415048771E-2</v>
      </c>
      <c r="AF141" s="367">
        <f t="shared" si="2"/>
        <v>39934</v>
      </c>
      <c r="AG141" s="368">
        <v>39951</v>
      </c>
      <c r="AH141" s="369">
        <v>2252.8000000000002</v>
      </c>
    </row>
    <row r="142" spans="8:34">
      <c r="H142" s="365">
        <v>44013</v>
      </c>
      <c r="I142" s="373">
        <f>+AVERAGEIF(TRM_dia[MES],Tabla3[[#This Row],[Fecha]],TRM_dia[TRM])</f>
        <v>3657.8667741935478</v>
      </c>
      <c r="J142">
        <v>185.9</v>
      </c>
      <c r="K142">
        <v>104.97</v>
      </c>
      <c r="L142">
        <v>276</v>
      </c>
      <c r="M142">
        <v>135.69999999999999</v>
      </c>
      <c r="N142">
        <v>193.3</v>
      </c>
      <c r="O142">
        <v>283.39999999999998</v>
      </c>
      <c r="P142">
        <v>254.7</v>
      </c>
      <c r="Q142">
        <v>144.1</v>
      </c>
      <c r="R142">
        <v>218.7</v>
      </c>
      <c r="S142" s="373">
        <f>+INDEX(Tabla2[Salarios],MATCH(YEAR(Tabla3[[#This Row],[Fecha]]),Tabla2[año],0))/Tabla3[[#This Row],[TRM año de cálculo $/USD]]</f>
        <v>239.97675535723408</v>
      </c>
      <c r="T142">
        <f>+Tabla3[[#This Row],[IPC]]/Tabla3[[#This Row],[TRM año de cálculo $/USD]]</f>
        <v>2.8697053906000389E-2</v>
      </c>
      <c r="AF142" s="367">
        <f t="shared" si="2"/>
        <v>39934</v>
      </c>
      <c r="AG142" s="368">
        <v>39952</v>
      </c>
      <c r="AH142" s="369">
        <v>2255.2199999999998</v>
      </c>
    </row>
    <row r="143" spans="8:34">
      <c r="H143" s="365">
        <v>44044</v>
      </c>
      <c r="I143" s="373">
        <f>+AVERAGEIF(TRM_dia[MES],Tabla3[[#This Row],[Fecha]],TRM_dia[TRM])</f>
        <v>3783.0258064516138</v>
      </c>
      <c r="J143">
        <v>183.6</v>
      </c>
      <c r="K143">
        <v>104.96</v>
      </c>
      <c r="L143">
        <v>276</v>
      </c>
      <c r="M143">
        <v>136</v>
      </c>
      <c r="N143">
        <v>193.3</v>
      </c>
      <c r="O143">
        <v>283.39999999999998</v>
      </c>
      <c r="P143">
        <v>255.6</v>
      </c>
      <c r="Q143">
        <v>144.1</v>
      </c>
      <c r="R143">
        <v>218.7</v>
      </c>
      <c r="S143" s="373">
        <f>+INDEX(Tabla2[Salarios],MATCH(YEAR(Tabla3[[#This Row],[Fecha]]),Tabla2[año],0))/Tabla3[[#This Row],[TRM año de cálculo $/USD]]</f>
        <v>232.03727516290931</v>
      </c>
      <c r="T143">
        <f>+Tabla3[[#This Row],[IPC]]/Tabla3[[#This Row],[TRM año de cálculo $/USD]]</f>
        <v>2.7744986518727959E-2</v>
      </c>
      <c r="AF143" s="367">
        <f t="shared" si="2"/>
        <v>39934</v>
      </c>
      <c r="AG143" s="368">
        <v>39953</v>
      </c>
      <c r="AH143" s="369">
        <v>2221.27</v>
      </c>
    </row>
    <row r="144" spans="8:34">
      <c r="H144" s="365">
        <v>44075</v>
      </c>
      <c r="I144" s="373">
        <f>+AVERAGEIF(TRM_dia[MES],Tabla3[[#This Row],[Fecha]],TRM_dia[TRM])</f>
        <v>3750.2153333333326</v>
      </c>
      <c r="J144">
        <v>181.2</v>
      </c>
      <c r="K144">
        <v>105.29</v>
      </c>
      <c r="L144">
        <v>276</v>
      </c>
      <c r="M144">
        <v>136</v>
      </c>
      <c r="N144">
        <v>193.3</v>
      </c>
      <c r="O144">
        <v>283.39999999999998</v>
      </c>
      <c r="P144">
        <v>256</v>
      </c>
      <c r="Q144">
        <v>144.1</v>
      </c>
      <c r="R144">
        <v>219.4</v>
      </c>
      <c r="S144" s="373">
        <f>+INDEX(Tabla2[Salarios],MATCH(YEAR(Tabla3[[#This Row],[Fecha]]),Tabla2[año],0))/Tabla3[[#This Row],[TRM año de cálculo $/USD]]</f>
        <v>234.0673593320775</v>
      </c>
      <c r="T144">
        <f>+Tabla3[[#This Row],[IPC]]/Tabla3[[#This Row],[TRM año de cálculo $/USD]]</f>
        <v>2.8075721163033668E-2</v>
      </c>
      <c r="AF144" s="367">
        <f t="shared" si="2"/>
        <v>39934</v>
      </c>
      <c r="AG144" s="368">
        <v>39954</v>
      </c>
      <c r="AH144" s="369">
        <v>2196.21</v>
      </c>
    </row>
    <row r="145" spans="8:34">
      <c r="H145" s="365">
        <v>44105</v>
      </c>
      <c r="I145" s="373">
        <f>+AVERAGEIF(TRM_dia[MES],Tabla3[[#This Row],[Fecha]],TRM_dia[TRM])</f>
        <v>3833.7883870967744</v>
      </c>
      <c r="J145">
        <v>182.7</v>
      </c>
      <c r="K145">
        <v>105.23</v>
      </c>
      <c r="L145">
        <v>276</v>
      </c>
      <c r="M145">
        <v>136.4</v>
      </c>
      <c r="N145">
        <v>193.3</v>
      </c>
      <c r="O145">
        <v>286.60000000000002</v>
      </c>
      <c r="P145">
        <v>256.89999999999998</v>
      </c>
      <c r="Q145">
        <v>144.6</v>
      </c>
      <c r="R145">
        <v>219.4</v>
      </c>
      <c r="S145" s="373">
        <f>+INDEX(Tabla2[Salarios],MATCH(YEAR(Tabla3[[#This Row],[Fecha]]),Tabla2[año],0))/Tabla3[[#This Row],[TRM año de cálculo $/USD]]</f>
        <v>228.96490660631815</v>
      </c>
      <c r="T145">
        <f>+Tabla3[[#This Row],[IPC]]/Tabla3[[#This Row],[TRM año de cálculo $/USD]]</f>
        <v>2.7448045999139737E-2</v>
      </c>
      <c r="AF145" s="367">
        <f t="shared" si="2"/>
        <v>39934</v>
      </c>
      <c r="AG145" s="368">
        <v>39955</v>
      </c>
      <c r="AH145" s="369">
        <v>2206.6</v>
      </c>
    </row>
    <row r="146" spans="8:34">
      <c r="H146" s="365">
        <v>44136</v>
      </c>
      <c r="I146" s="373">
        <f>+AVERAGEIF(TRM_dia[MES],Tabla3[[#This Row],[Fecha]],TRM_dia[TRM])</f>
        <v>3685.6266666666661</v>
      </c>
      <c r="J146">
        <v>186.6</v>
      </c>
      <c r="K146">
        <v>105.08</v>
      </c>
      <c r="L146">
        <v>276</v>
      </c>
      <c r="M146">
        <v>136.5</v>
      </c>
      <c r="N146">
        <v>193.3</v>
      </c>
      <c r="O146">
        <v>286.60000000000002</v>
      </c>
      <c r="P146">
        <v>258.10000000000002</v>
      </c>
      <c r="Q146">
        <v>144.9</v>
      </c>
      <c r="R146">
        <v>219.4</v>
      </c>
      <c r="S146" s="373">
        <f>+INDEX(Tabla2[Salarios],MATCH(YEAR(Tabla3[[#This Row],[Fecha]]),Tabla2[año],0))/Tabla3[[#This Row],[TRM año de cálculo $/USD]]</f>
        <v>238.16926655620756</v>
      </c>
      <c r="T146">
        <f>+Tabla3[[#This Row],[IPC]]/Tabla3[[#This Row],[TRM año de cálculo $/USD]]</f>
        <v>2.8510755294441113E-2</v>
      </c>
      <c r="AF146" s="367">
        <f t="shared" si="2"/>
        <v>39934</v>
      </c>
      <c r="AG146" s="368">
        <v>39956</v>
      </c>
      <c r="AH146" s="369">
        <v>2201.44</v>
      </c>
    </row>
    <row r="147" spans="8:34">
      <c r="H147" s="365">
        <v>44166</v>
      </c>
      <c r="I147" s="373">
        <f>+AVERAGEIF(TRM_dia[MES],Tabla3[[#This Row],[Fecha]],TRM_dia[TRM])</f>
        <v>3466.1270967741934</v>
      </c>
      <c r="J147">
        <v>188.7</v>
      </c>
      <c r="K147">
        <v>105.48</v>
      </c>
      <c r="L147">
        <v>276.60000000000002</v>
      </c>
      <c r="M147">
        <v>136.5</v>
      </c>
      <c r="N147">
        <v>193.3</v>
      </c>
      <c r="O147">
        <v>286.60000000000002</v>
      </c>
      <c r="P147">
        <v>258.8</v>
      </c>
      <c r="Q147">
        <v>145</v>
      </c>
      <c r="R147">
        <v>219.8</v>
      </c>
      <c r="S147" s="373">
        <f>+INDEX(Tabla2[Salarios],MATCH(YEAR(Tabla3[[#This Row],[Fecha]]),Tabla2[año],0))/Tabla3[[#This Row],[TRM año de cálculo $/USD]]</f>
        <v>253.25182126672198</v>
      </c>
      <c r="T147">
        <f>+Tabla3[[#This Row],[IPC]]/Tabla3[[#This Row],[TRM año de cálculo $/USD]]</f>
        <v>3.0431659617492574E-2</v>
      </c>
      <c r="AF147" s="367">
        <f t="shared" si="2"/>
        <v>39934</v>
      </c>
      <c r="AG147" s="368">
        <v>39957</v>
      </c>
      <c r="AH147" s="369">
        <v>2201.44</v>
      </c>
    </row>
    <row r="148" spans="8:34">
      <c r="H148" s="365">
        <v>44197</v>
      </c>
      <c r="I148" s="373">
        <f>+AVERAGEIF(TRM_dia[MES],Tabla3[[#This Row],[Fecha]],TRM_dia[TRM])</f>
        <v>3491.3216129032267</v>
      </c>
      <c r="J148">
        <v>197.4</v>
      </c>
      <c r="K148">
        <v>105.91</v>
      </c>
      <c r="L148">
        <v>281.3</v>
      </c>
      <c r="M148">
        <v>137.80000000000001</v>
      </c>
      <c r="N148">
        <v>193.6</v>
      </c>
      <c r="O148">
        <v>286.60000000000002</v>
      </c>
      <c r="P148">
        <v>262</v>
      </c>
      <c r="Q148">
        <v>144.9</v>
      </c>
      <c r="R148">
        <v>220.1</v>
      </c>
      <c r="S148" s="373">
        <f>+INDEX(Tabla2[Salarios],MATCH(YEAR(Tabla3[[#This Row],[Fecha]]),Tabla2[año],0))/Tabla3[[#This Row],[TRM año de cálculo $/USD]]</f>
        <v>260.22409297449695</v>
      </c>
      <c r="T148">
        <f>+Tabla3[[#This Row],[IPC]]/Tabla3[[#This Row],[TRM año de cálculo $/USD]]</f>
        <v>3.0335217359689182E-2</v>
      </c>
      <c r="AF148" s="367">
        <f t="shared" si="2"/>
        <v>39934</v>
      </c>
      <c r="AG148" s="368">
        <v>39958</v>
      </c>
      <c r="AH148" s="369">
        <v>2201.44</v>
      </c>
    </row>
    <row r="149" spans="8:34">
      <c r="H149" s="365">
        <v>44228</v>
      </c>
      <c r="I149" s="373">
        <f>+AVERAGEIF(TRM_dia[MES],Tabla3[[#This Row],[Fecha]],TRM_dia[TRM])</f>
        <v>3554.5042857142844</v>
      </c>
      <c r="J149">
        <v>215.9</v>
      </c>
      <c r="K149">
        <v>106.58</v>
      </c>
      <c r="L149">
        <v>283.3</v>
      </c>
      <c r="M149">
        <v>138.9</v>
      </c>
      <c r="N149">
        <v>193.7</v>
      </c>
      <c r="O149">
        <v>286.60000000000002</v>
      </c>
      <c r="P149">
        <v>263</v>
      </c>
      <c r="Q149">
        <v>145</v>
      </c>
      <c r="R149">
        <v>220.1</v>
      </c>
      <c r="S149" s="373">
        <f>+INDEX(Tabla2[Salarios],MATCH(YEAR(Tabla3[[#This Row],[Fecha]]),Tabla2[año],0))/Tabla3[[#This Row],[TRM año de cálculo $/USD]]</f>
        <v>255.59851022023173</v>
      </c>
      <c r="T149">
        <f>+Tabla3[[#This Row],[IPC]]/Tabla3[[#This Row],[TRM año de cálculo $/USD]]</f>
        <v>2.9984490503598464E-2</v>
      </c>
      <c r="AF149" s="367">
        <f t="shared" si="2"/>
        <v>39934</v>
      </c>
      <c r="AG149" s="368">
        <v>39959</v>
      </c>
      <c r="AH149" s="369">
        <v>2201.44</v>
      </c>
    </row>
    <row r="150" spans="8:34">
      <c r="H150" s="365">
        <v>44256</v>
      </c>
      <c r="I150" s="373">
        <f>+AVERAGEIF(TRM_dia[MES],Tabla3[[#This Row],[Fecha]],TRM_dia[TRM])</f>
        <v>3612.7683870967749</v>
      </c>
      <c r="J150">
        <v>228</v>
      </c>
      <c r="K150">
        <v>107.12</v>
      </c>
      <c r="L150">
        <v>283.3</v>
      </c>
      <c r="M150">
        <v>138.80000000000001</v>
      </c>
      <c r="N150">
        <v>193.7</v>
      </c>
      <c r="O150">
        <v>297.10000000000002</v>
      </c>
      <c r="P150">
        <v>269.60000000000002</v>
      </c>
      <c r="Q150">
        <v>145.30000000000001</v>
      </c>
      <c r="R150">
        <v>220.2</v>
      </c>
      <c r="S150" s="373">
        <f>+INDEX(Tabla2[Salarios],MATCH(YEAR(Tabla3[[#This Row],[Fecha]]),Tabla2[año],0))/Tabla3[[#This Row],[TRM año de cálculo $/USD]]</f>
        <v>251.47640331576656</v>
      </c>
      <c r="T150">
        <f>+Tabla3[[#This Row],[IPC]]/Tabla3[[#This Row],[TRM año de cálculo $/USD]]</f>
        <v>2.9650392309284394E-2</v>
      </c>
      <c r="AF150" s="367">
        <f t="shared" si="2"/>
        <v>39934</v>
      </c>
      <c r="AG150" s="368">
        <v>39960</v>
      </c>
      <c r="AH150" s="369">
        <v>2213.89</v>
      </c>
    </row>
    <row r="151" spans="8:34">
      <c r="H151" s="365">
        <v>44287</v>
      </c>
      <c r="I151" s="373">
        <f>+AVERAGEIF(TRM_dia[MES],Tabla3[[#This Row],[Fecha]],TRM_dia[TRM])</f>
        <v>3650.776063521103</v>
      </c>
      <c r="J151">
        <v>233</v>
      </c>
      <c r="K151">
        <v>107.76</v>
      </c>
      <c r="L151">
        <v>284.60000000000002</v>
      </c>
      <c r="M151">
        <v>138.80000000000001</v>
      </c>
      <c r="N151">
        <v>193.4</v>
      </c>
      <c r="O151">
        <v>298.8</v>
      </c>
      <c r="P151">
        <v>274.10000000000002</v>
      </c>
      <c r="Q151">
        <v>145.30000000000001</v>
      </c>
      <c r="R151">
        <v>220.4</v>
      </c>
      <c r="S151" s="373">
        <f>+INDEX(Tabla2[Salarios],MATCH(YEAR(Tabla3[[#This Row],[Fecha]]),Tabla2[año],0))/Tabla3[[#This Row],[TRM año de cálculo $/USD]]</f>
        <v>248.85832058506054</v>
      </c>
      <c r="T151">
        <f>+Tabla3[[#This Row],[IPC]]/Tabla3[[#This Row],[TRM año de cálculo $/USD]]</f>
        <v>2.9517011759978388E-2</v>
      </c>
      <c r="AF151" s="367">
        <f t="shared" si="2"/>
        <v>39934</v>
      </c>
      <c r="AG151" s="368">
        <v>39961</v>
      </c>
      <c r="AH151" s="369">
        <v>2208.89</v>
      </c>
    </row>
    <row r="152" spans="8:34">
      <c r="H152" s="365">
        <v>44317</v>
      </c>
      <c r="I152" s="373">
        <f>+AVERAGEIF(TRM_dia[MES],Tabla3[[#This Row],[Fecha]],TRM_dia[TRM])</f>
        <v>3735.6661290322581</v>
      </c>
      <c r="J152">
        <v>244.4</v>
      </c>
      <c r="K152">
        <v>108.84</v>
      </c>
      <c r="L152">
        <v>285.60000000000002</v>
      </c>
      <c r="M152">
        <v>138.9</v>
      </c>
      <c r="N152">
        <v>193.5</v>
      </c>
      <c r="O152">
        <v>298.8</v>
      </c>
      <c r="P152">
        <v>285.60000000000002</v>
      </c>
      <c r="Q152">
        <v>145.30000000000001</v>
      </c>
      <c r="R152">
        <v>221.6</v>
      </c>
      <c r="S152" s="373">
        <f>+INDEX(Tabla2[Salarios],MATCH(YEAR(Tabla3[[#This Row],[Fecha]]),Tabla2[año],0))/Tabla3[[#This Row],[TRM año de cálculo $/USD]]</f>
        <v>243.20321158769022</v>
      </c>
      <c r="T152">
        <f>+Tabla3[[#This Row],[IPC]]/Tabla3[[#This Row],[TRM año de cálculo $/USD]]</f>
        <v>2.9135366020569809E-2</v>
      </c>
      <c r="AF152" s="367">
        <f t="shared" si="2"/>
        <v>39934</v>
      </c>
      <c r="AG152" s="368">
        <v>39962</v>
      </c>
      <c r="AH152" s="369">
        <v>2190.4499999999998</v>
      </c>
    </row>
    <row r="153" spans="8:34">
      <c r="H153" s="365">
        <v>44348</v>
      </c>
      <c r="I153" s="373">
        <f>+AVERAGEIF(TRM_dia[MES],Tabla3[[#This Row],[Fecha]],TRM_dia[TRM])</f>
        <v>3685.0426666666663</v>
      </c>
      <c r="J153">
        <v>251.9</v>
      </c>
      <c r="K153">
        <v>108.78</v>
      </c>
      <c r="L153">
        <v>288.5</v>
      </c>
      <c r="M153">
        <v>141.1</v>
      </c>
      <c r="N153">
        <v>194.8</v>
      </c>
      <c r="O153">
        <v>298.8</v>
      </c>
      <c r="P153">
        <v>302.7</v>
      </c>
      <c r="Q153">
        <v>145.5</v>
      </c>
      <c r="R153">
        <v>223</v>
      </c>
      <c r="S153" s="373">
        <f>+INDEX(Tabla2[Salarios],MATCH(YEAR(Tabla3[[#This Row],[Fecha]]),Tabla2[año],0))/Tabla3[[#This Row],[TRM año de cálculo $/USD]]</f>
        <v>246.5442281627133</v>
      </c>
      <c r="T153">
        <f>+Tabla3[[#This Row],[IPC]]/Tabla3[[#This Row],[TRM año de cálculo $/USD]]</f>
        <v>2.9519332566750926E-2</v>
      </c>
      <c r="AF153" s="367">
        <f t="shared" si="2"/>
        <v>39934</v>
      </c>
      <c r="AG153" s="368">
        <v>39963</v>
      </c>
      <c r="AH153" s="369">
        <v>2140.66</v>
      </c>
    </row>
    <row r="154" spans="8:34">
      <c r="H154" s="365">
        <v>44378</v>
      </c>
      <c r="I154" s="373">
        <f>+AVERAGEIF(TRM_dia[MES],Tabla3[[#This Row],[Fecha]],TRM_dia[TRM])</f>
        <v>3829.4180645161291</v>
      </c>
      <c r="J154">
        <v>266.33600000000001</v>
      </c>
      <c r="K154">
        <v>109.14</v>
      </c>
      <c r="L154">
        <v>292.33100000000002</v>
      </c>
      <c r="M154">
        <v>145.667</v>
      </c>
      <c r="N154">
        <v>200.303</v>
      </c>
      <c r="O154">
        <v>300.50099999999998</v>
      </c>
      <c r="P154">
        <v>304.64400000000001</v>
      </c>
      <c r="Q154">
        <v>146.53299999999999</v>
      </c>
      <c r="R154">
        <v>223.316</v>
      </c>
      <c r="S154" s="373">
        <f>+INDEX(Tabla2[Salarios],MATCH(YEAR(Tabla3[[#This Row],[Fecha]]),Tabla2[año],0))/Tabla3[[#This Row],[TRM año de cálculo $/USD]]</f>
        <v>237.2491027862736</v>
      </c>
      <c r="T154">
        <f>+Tabla3[[#This Row],[IPC]]/Tabla3[[#This Row],[TRM año de cálculo $/USD]]</f>
        <v>2.850041394312755E-2</v>
      </c>
      <c r="AF154" s="367">
        <f t="shared" si="2"/>
        <v>39934</v>
      </c>
      <c r="AG154" s="368">
        <v>39964</v>
      </c>
      <c r="AH154" s="369">
        <v>2140.66</v>
      </c>
    </row>
    <row r="155" spans="8:34">
      <c r="H155" s="365">
        <v>44409</v>
      </c>
      <c r="I155" s="373">
        <f>+AVERAGEIF(TRM_dia[MES],Tabla3[[#This Row],[Fecha]],TRM_dia[TRM])</f>
        <v>3881.1836098591311</v>
      </c>
      <c r="J155">
        <v>281.95400000000001</v>
      </c>
      <c r="K155">
        <v>109.62</v>
      </c>
      <c r="L155">
        <v>292.33100000000002</v>
      </c>
      <c r="M155">
        <v>145.79900000000001</v>
      </c>
      <c r="N155">
        <v>200.303</v>
      </c>
      <c r="O155">
        <v>300.56299999999999</v>
      </c>
      <c r="P155">
        <v>304.95499999999998</v>
      </c>
      <c r="Q155">
        <v>146.72800000000001</v>
      </c>
      <c r="R155">
        <v>224.45</v>
      </c>
      <c r="S155" s="373">
        <f>+INDEX(Tabla2[Salarios],MATCH(YEAR(Tabla3[[#This Row],[Fecha]]),Tabla2[año],0))/Tabla3[[#This Row],[TRM año de cálculo $/USD]]</f>
        <v>234.08477704897226</v>
      </c>
      <c r="T155">
        <f>+Tabla3[[#This Row],[IPC]]/Tabla3[[#This Row],[TRM año de cálculo $/USD]]</f>
        <v>2.8243961383723017E-2</v>
      </c>
      <c r="AF155" s="367">
        <f t="shared" si="2"/>
        <v>39965</v>
      </c>
      <c r="AG155" s="368">
        <v>39965</v>
      </c>
      <c r="AH155" s="369">
        <v>2140.66</v>
      </c>
    </row>
    <row r="156" spans="8:34">
      <c r="H156" s="365">
        <v>44440</v>
      </c>
      <c r="I156" s="373">
        <f>+AVERAGEIF(TRM_dia[MES],Tabla3[[#This Row],[Fecha]],TRM_dia[TRM])</f>
        <v>3821.5376666666662</v>
      </c>
      <c r="J156">
        <v>288.41199999999998</v>
      </c>
      <c r="K156">
        <v>110.04</v>
      </c>
      <c r="L156">
        <v>299.65199999999999</v>
      </c>
      <c r="M156">
        <v>145.72999999999999</v>
      </c>
      <c r="N156">
        <v>201.27600000000001</v>
      </c>
      <c r="O156">
        <v>319.30900000000003</v>
      </c>
      <c r="P156">
        <v>315.88</v>
      </c>
      <c r="Q156">
        <v>146.982</v>
      </c>
      <c r="R156">
        <v>227.38200000000001</v>
      </c>
      <c r="S156" s="373">
        <f>+INDEX(Tabla2[Salarios],MATCH(YEAR(Tabla3[[#This Row],[Fecha]]),Tabla2[año],0))/Tabla3[[#This Row],[TRM año de cálculo $/USD]]</f>
        <v>237.73833447321775</v>
      </c>
      <c r="T156">
        <f>+Tabla3[[#This Row],[IPC]]/Tabla3[[#This Row],[TRM año de cálculo $/USD]]</f>
        <v>2.8794691979572278E-2</v>
      </c>
      <c r="AF156" s="367">
        <f t="shared" si="2"/>
        <v>39965</v>
      </c>
      <c r="AG156" s="368">
        <v>39966</v>
      </c>
      <c r="AH156" s="369">
        <v>2109.42</v>
      </c>
    </row>
    <row r="157" spans="8:34">
      <c r="H157" s="365">
        <v>44470</v>
      </c>
      <c r="I157" s="373">
        <f>+AVERAGEIF(TRM_dia[MES],Tabla3[[#This Row],[Fecha]],TRM_dia[TRM])</f>
        <v>3773.3841935483888</v>
      </c>
      <c r="J157">
        <v>290.70400000000001</v>
      </c>
      <c r="K157">
        <v>110.06</v>
      </c>
      <c r="L157">
        <v>300.27499999999998</v>
      </c>
      <c r="M157">
        <v>145.72999999999999</v>
      </c>
      <c r="N157">
        <v>201.27600000000001</v>
      </c>
      <c r="O157">
        <v>320.53300000000002</v>
      </c>
      <c r="P157">
        <v>324.40600000000001</v>
      </c>
      <c r="Q157">
        <v>148.06700000000001</v>
      </c>
      <c r="R157">
        <v>225.80600000000001</v>
      </c>
      <c r="S157" s="373">
        <f>+INDEX(Tabla2[Salarios],MATCH(YEAR(Tabla3[[#This Row],[Fecha]]),Tabla2[año],0))/Tabla3[[#This Row],[TRM año de cálculo $/USD]]</f>
        <v>240.77219636245061</v>
      </c>
      <c r="T157">
        <f>+Tabla3[[#This Row],[IPC]]/Tabla3[[#This Row],[TRM año de cálculo $/USD]]</f>
        <v>2.9167451379103419E-2</v>
      </c>
      <c r="AF157" s="367">
        <f t="shared" si="2"/>
        <v>39965</v>
      </c>
      <c r="AG157" s="368">
        <v>39967</v>
      </c>
      <c r="AH157" s="369">
        <v>2077.02</v>
      </c>
    </row>
    <row r="158" spans="8:34">
      <c r="H158" s="365">
        <v>44501</v>
      </c>
      <c r="I158" s="373">
        <f>+AVERAGEIF(TRM_dia[MES],Tabla3[[#This Row],[Fecha]],TRM_dia[TRM])</f>
        <v>3902.9009999999994</v>
      </c>
      <c r="J158">
        <v>295.875</v>
      </c>
      <c r="K158">
        <v>110.6</v>
      </c>
      <c r="L158">
        <v>300.27499999999998</v>
      </c>
      <c r="M158">
        <v>146.27199999999999</v>
      </c>
      <c r="N158">
        <v>203.648</v>
      </c>
      <c r="O158">
        <v>347.053</v>
      </c>
      <c r="P158">
        <v>340.584</v>
      </c>
      <c r="Q158">
        <v>148.215</v>
      </c>
      <c r="R158">
        <v>226.37899999999999</v>
      </c>
      <c r="S158" s="373">
        <f>+INDEX(Tabla2[Salarios],MATCH(YEAR(Tabla3[[#This Row],[Fecha]]),Tabla2[año],0))/Tabla3[[#This Row],[TRM año de cálculo $/USD]]</f>
        <v>232.78223044858174</v>
      </c>
      <c r="T158">
        <f>+Tabla3[[#This Row],[IPC]]/Tabla3[[#This Row],[TRM año de cálculo $/USD]]</f>
        <v>2.8337895324529117E-2</v>
      </c>
      <c r="AF158" s="367">
        <f t="shared" si="2"/>
        <v>39965</v>
      </c>
      <c r="AG158" s="368">
        <v>39968</v>
      </c>
      <c r="AH158" s="369">
        <v>2073.5500000000002</v>
      </c>
    </row>
    <row r="159" spans="8:34">
      <c r="H159" s="365">
        <v>44531</v>
      </c>
      <c r="I159" s="373">
        <f>+AVERAGEIF(TRM_dia[MES],Tabla3[[#This Row],[Fecha]],TRM_dia[TRM])</f>
        <v>3963.1335483870962</v>
      </c>
      <c r="J159">
        <v>298.13799999999998</v>
      </c>
      <c r="K159">
        <v>111.41</v>
      </c>
      <c r="L159">
        <v>300.34199999999998</v>
      </c>
      <c r="M159">
        <v>147.55099999999999</v>
      </c>
      <c r="N159">
        <v>207.98699999999999</v>
      </c>
      <c r="O159">
        <v>347.40699999999998</v>
      </c>
      <c r="P159">
        <v>347.71</v>
      </c>
      <c r="Q159">
        <v>148.32400000000001</v>
      </c>
      <c r="R159">
        <v>230.767</v>
      </c>
      <c r="S159" s="373">
        <f>+INDEX(Tabla2[Salarios],MATCH(YEAR(Tabla3[[#This Row],[Fecha]]),Tabla2[año],0))/Tabla3[[#This Row],[TRM año de cálculo $/USD]]</f>
        <v>229.24435649405484</v>
      </c>
      <c r="T159">
        <f>+Tabla3[[#This Row],[IPC]]/Tabla3[[#This Row],[TRM año de cálculo $/USD]]</f>
        <v>2.811159367701381E-2</v>
      </c>
      <c r="AF159" s="367">
        <f t="shared" si="2"/>
        <v>39965</v>
      </c>
      <c r="AG159" s="368">
        <v>39969</v>
      </c>
      <c r="AH159" s="369">
        <v>2072</v>
      </c>
    </row>
    <row r="160" spans="8:34">
      <c r="H160" s="365">
        <v>44562</v>
      </c>
      <c r="I160" s="373">
        <f>+AVERAGEIF(TRM_dia[MES],Tabla3[[#This Row],[Fecha]],TRM_dia[TRM])</f>
        <v>3999.6161290322589</v>
      </c>
      <c r="J160">
        <v>315.02699999999999</v>
      </c>
      <c r="K160">
        <v>113.26</v>
      </c>
      <c r="L160">
        <v>309.916</v>
      </c>
      <c r="M160">
        <v>152.59899999999999</v>
      </c>
      <c r="N160">
        <v>204.96700000000001</v>
      </c>
      <c r="O160">
        <v>369.87400000000002</v>
      </c>
      <c r="P160">
        <v>356.30200000000002</v>
      </c>
      <c r="Q160">
        <v>151.29400000000001</v>
      </c>
      <c r="R160">
        <v>241.00800000000001</v>
      </c>
      <c r="S160" s="373">
        <f>+INDEX(Tabla2[Salarios],MATCH(YEAR(Tabla3[[#This Row],[Fecha]]),Tabla2[año],0))/Tabla3[[#This Row],[TRM año de cálculo $/USD]]</f>
        <v>250.02399423815669</v>
      </c>
      <c r="T160">
        <f>+Tabla3[[#This Row],[IPC]]/Tabla3[[#This Row],[TRM año de cálculo $/USD]]</f>
        <v>2.8317717587413627E-2</v>
      </c>
      <c r="AF160" s="367">
        <f t="shared" si="2"/>
        <v>39965</v>
      </c>
      <c r="AG160" s="368">
        <v>39970</v>
      </c>
      <c r="AH160" s="369">
        <v>2063.1</v>
      </c>
    </row>
    <row r="161" spans="8:34">
      <c r="H161" s="365">
        <v>44593</v>
      </c>
      <c r="I161" s="373">
        <f>+AVERAGEIF(TRM_dia[MES],Tabla3[[#This Row],[Fecha]],TRM_dia[TRM])</f>
        <v>3935.835714285713</v>
      </c>
      <c r="J161">
        <v>314.30500000000001</v>
      </c>
      <c r="K161">
        <v>115.11</v>
      </c>
      <c r="L161">
        <v>312.05</v>
      </c>
      <c r="M161">
        <v>153.101</v>
      </c>
      <c r="N161">
        <v>220.65100000000001</v>
      </c>
      <c r="O161">
        <v>397.553</v>
      </c>
      <c r="P161">
        <v>357.54899999999998</v>
      </c>
      <c r="Q161">
        <v>151.309</v>
      </c>
      <c r="R161">
        <v>241.083</v>
      </c>
      <c r="S161" s="373">
        <f>+INDEX(Tabla2[Salarios],MATCH(YEAR(Tabla3[[#This Row],[Fecha]]),Tabla2[año],0))/Tabla3[[#This Row],[TRM año de cálculo $/USD]]</f>
        <v>254.07564557899312</v>
      </c>
      <c r="T161">
        <f>+Tabla3[[#This Row],[IPC]]/Tabla3[[#This Row],[TRM año de cálculo $/USD]]</f>
        <v>2.9246647562597896E-2</v>
      </c>
      <c r="AF161" s="367">
        <f t="shared" si="2"/>
        <v>39965</v>
      </c>
      <c r="AG161" s="368">
        <v>39971</v>
      </c>
      <c r="AH161" s="369">
        <v>2063.1</v>
      </c>
    </row>
    <row r="162" spans="8:34">
      <c r="H162" s="365">
        <v>44621</v>
      </c>
      <c r="I162" s="373">
        <f>+AVERAGEIF(TRM_dia[MES],Tabla3[[#This Row],[Fecha]],TRM_dia[TRM])</f>
        <v>3807.1709677419353</v>
      </c>
      <c r="J162">
        <v>318.78699999999998</v>
      </c>
      <c r="K162">
        <v>116.26</v>
      </c>
      <c r="L162">
        <v>315.67099999999999</v>
      </c>
      <c r="M162">
        <v>153.13900000000001</v>
      </c>
      <c r="N162">
        <v>221.126</v>
      </c>
      <c r="O162">
        <v>399.75599999999997</v>
      </c>
      <c r="P162">
        <v>377.64800000000002</v>
      </c>
      <c r="Q162">
        <v>152.43299999999999</v>
      </c>
      <c r="R162">
        <v>251.577</v>
      </c>
      <c r="S162" s="373">
        <f>+INDEX(Tabla2[Salarios],MATCH(YEAR(Tabla3[[#This Row],[Fecha]]),Tabla2[año],0))/Tabla3[[#This Row],[TRM año de cálculo $/USD]]</f>
        <v>262.66222569802488</v>
      </c>
      <c r="T162">
        <f>+Tabla3[[#This Row],[IPC]]/Tabla3[[#This Row],[TRM año de cálculo $/USD]]</f>
        <v>3.0537110359652373E-2</v>
      </c>
      <c r="AF162" s="367">
        <f t="shared" si="2"/>
        <v>39965</v>
      </c>
      <c r="AG162" s="368">
        <v>39972</v>
      </c>
      <c r="AH162" s="369">
        <v>2063.1</v>
      </c>
    </row>
    <row r="163" spans="8:34">
      <c r="H163" s="365">
        <v>44652</v>
      </c>
      <c r="I163" s="373">
        <f>+AVERAGEIF(TRM_dia[MES],Tabla3[[#This Row],[Fecha]],TRM_dia[TRM])</f>
        <v>3792.9820000000018</v>
      </c>
      <c r="J163">
        <v>323.17</v>
      </c>
      <c r="K163">
        <v>117.71</v>
      </c>
      <c r="L163">
        <v>320.226</v>
      </c>
      <c r="M163">
        <v>152.78800000000001</v>
      </c>
      <c r="N163">
        <v>222.126</v>
      </c>
      <c r="O163">
        <v>402.66</v>
      </c>
      <c r="P163">
        <v>389.471</v>
      </c>
      <c r="Q163">
        <v>157.84899999999999</v>
      </c>
      <c r="R163">
        <v>251.637</v>
      </c>
      <c r="S163" s="373">
        <f>+INDEX(Tabla2[Salarios],MATCH(YEAR(Tabla3[[#This Row],[Fecha]]),Tabla2[año],0))/Tabla3[[#This Row],[TRM año de cálculo $/USD]]</f>
        <v>263.64480506366743</v>
      </c>
      <c r="T163">
        <f>+Tabla3[[#This Row],[IPC]]/Tabla3[[#This Row],[TRM año de cálculo $/USD]]</f>
        <v>3.1033630004044296E-2</v>
      </c>
      <c r="AF163" s="367">
        <f t="shared" si="2"/>
        <v>39965</v>
      </c>
      <c r="AG163" s="368">
        <v>39973</v>
      </c>
      <c r="AH163" s="369">
        <v>2091.1</v>
      </c>
    </row>
    <row r="164" spans="8:34">
      <c r="H164" s="365">
        <v>44682</v>
      </c>
      <c r="I164" s="373">
        <f>+AVERAGEIF(TRM_dia[MES],Tabla3[[#This Row],[Fecha]],TRM_dia[TRM])</f>
        <v>4019.0793548387101</v>
      </c>
      <c r="J164">
        <v>337.54599999999999</v>
      </c>
      <c r="K164">
        <v>118.7</v>
      </c>
      <c r="L164">
        <v>323.56099999999998</v>
      </c>
      <c r="M164">
        <v>152.40700000000001</v>
      </c>
      <c r="N164">
        <v>222.126</v>
      </c>
      <c r="O164">
        <v>405.791</v>
      </c>
      <c r="P164">
        <v>393.37700000000001</v>
      </c>
      <c r="Q164">
        <v>158.75</v>
      </c>
      <c r="R164">
        <v>252.35900000000001</v>
      </c>
      <c r="S164" s="373">
        <f>+INDEX(Tabla2[Salarios],MATCH(YEAR(Tabla3[[#This Row],[Fecha]]),Tabla2[año],0))/Tabla3[[#This Row],[TRM año de cálculo $/USD]]</f>
        <v>248.81320116162053</v>
      </c>
      <c r="T164">
        <f>+Tabla3[[#This Row],[IPC]]/Tabla3[[#This Row],[TRM año de cálculo $/USD]]</f>
        <v>2.9534126977884358E-2</v>
      </c>
      <c r="AF164" s="367">
        <f t="shared" si="2"/>
        <v>39965</v>
      </c>
      <c r="AG164" s="368">
        <v>39974</v>
      </c>
      <c r="AH164" s="369">
        <v>2060.1799999999998</v>
      </c>
    </row>
    <row r="165" spans="8:34">
      <c r="H165" s="365">
        <v>44713</v>
      </c>
      <c r="I165" s="373">
        <f>+AVERAGEIF(TRM_dia[MES],Tabla3[[#This Row],[Fecha]],TRM_dia[TRM])</f>
        <v>3930.7666666666669</v>
      </c>
      <c r="J165">
        <v>340.51600000000002</v>
      </c>
      <c r="K165">
        <v>119.31</v>
      </c>
      <c r="L165">
        <v>326.54300000000001</v>
      </c>
      <c r="M165">
        <v>152.494</v>
      </c>
      <c r="N165">
        <v>224.999</v>
      </c>
      <c r="O165">
        <v>407.33600000000001</v>
      </c>
      <c r="P165">
        <v>407.81900000000002</v>
      </c>
      <c r="Q165">
        <v>161.41499999999999</v>
      </c>
      <c r="R165">
        <v>255.089</v>
      </c>
      <c r="S165" s="373">
        <f>+INDEX(Tabla2[Salarios],MATCH(YEAR(Tabla3[[#This Row],[Fecha]]),Tabla2[año],0))/Tabla3[[#This Row],[TRM año de cálculo $/USD]]</f>
        <v>254.40329706672998</v>
      </c>
      <c r="T165">
        <f>+Tabla3[[#This Row],[IPC]]/Tabla3[[#This Row],[TRM año de cálculo $/USD]]</f>
        <v>3.0352857373031554E-2</v>
      </c>
      <c r="AF165" s="367">
        <f t="shared" si="2"/>
        <v>39965</v>
      </c>
      <c r="AG165" s="368">
        <v>39975</v>
      </c>
      <c r="AH165" s="369">
        <v>2042.19</v>
      </c>
    </row>
    <row r="166" spans="8:34">
      <c r="H166" s="365">
        <v>44743</v>
      </c>
      <c r="I166" s="373">
        <f>+AVERAGEIF(TRM_dia[MES],Tabla3[[#This Row],[Fecha]],TRM_dia[TRM])</f>
        <v>4367.8058064516135</v>
      </c>
      <c r="J166">
        <v>339.63499999999999</v>
      </c>
      <c r="K166">
        <v>120.27</v>
      </c>
      <c r="L166">
        <v>331.31599999999997</v>
      </c>
      <c r="M166">
        <v>154.43100000000001</v>
      </c>
      <c r="N166">
        <v>227.63300000000001</v>
      </c>
      <c r="O166">
        <v>407.33600000000001</v>
      </c>
      <c r="P166">
        <v>414.87200000000001</v>
      </c>
      <c r="Q166">
        <v>163.68199999999999</v>
      </c>
      <c r="R166">
        <v>255.13499999999999</v>
      </c>
      <c r="S166" s="373">
        <f>+INDEX(Tabla2[Salarios],MATCH(YEAR(Tabla3[[#This Row],[Fecha]]),Tabla2[año],0))/Tabla3[[#This Row],[TRM año de cálculo $/USD]]</f>
        <v>228.9479075564478</v>
      </c>
      <c r="T166">
        <f>+Tabla3[[#This Row],[IPC]]/Tabla3[[#This Row],[TRM año de cálculo $/USD]]</f>
        <v>2.7535564841813978E-2</v>
      </c>
      <c r="AF166" s="367">
        <f t="shared" si="2"/>
        <v>39965</v>
      </c>
      <c r="AG166" s="368">
        <v>39976</v>
      </c>
      <c r="AH166" s="369">
        <v>2026.17</v>
      </c>
    </row>
    <row r="167" spans="8:34">
      <c r="H167" s="365">
        <v>44774</v>
      </c>
      <c r="I167" s="373">
        <f>+AVERAGEIF(TRM_dia[MES],Tabla3[[#This Row],[Fecha]],TRM_dia[TRM])</f>
        <v>4322.4693548387104</v>
      </c>
      <c r="J167">
        <v>331.56299999999999</v>
      </c>
      <c r="K167">
        <v>121.5</v>
      </c>
      <c r="L167">
        <v>331.31599999999997</v>
      </c>
      <c r="M167">
        <v>154.15700000000001</v>
      </c>
      <c r="N167">
        <v>222.71199999999999</v>
      </c>
      <c r="O167">
        <v>407.33600000000001</v>
      </c>
      <c r="P167">
        <v>416.59100000000001</v>
      </c>
      <c r="Q167">
        <v>163.68199999999999</v>
      </c>
      <c r="R167">
        <v>255.62</v>
      </c>
      <c r="S167" s="373">
        <f>+INDEX(Tabla2[Salarios],MATCH(YEAR(Tabla3[[#This Row],[Fecha]]),Tabla2[año],0))/Tabla3[[#This Row],[TRM año de cálculo $/USD]]</f>
        <v>231.34923996177508</v>
      </c>
      <c r="T167">
        <f>+Tabla3[[#This Row],[IPC]]/Tabla3[[#This Row],[TRM año de cálculo $/USD]]</f>
        <v>2.8108932655355676E-2</v>
      </c>
      <c r="AF167" s="367">
        <f t="shared" si="2"/>
        <v>39965</v>
      </c>
      <c r="AG167" s="368">
        <v>39977</v>
      </c>
      <c r="AH167" s="369">
        <v>2015.4</v>
      </c>
    </row>
    <row r="168" spans="8:34">
      <c r="H168" s="365">
        <v>44805</v>
      </c>
      <c r="I168" s="373">
        <f>+AVERAGEIF(TRM_dia[MES],Tabla3[[#This Row],[Fecha]],TRM_dia[TRM])</f>
        <v>4433.6509999999998</v>
      </c>
      <c r="J168">
        <v>323.41399999999999</v>
      </c>
      <c r="K168">
        <v>122.63</v>
      </c>
      <c r="L168">
        <v>332.65499999999997</v>
      </c>
      <c r="M168">
        <v>156.64099999999999</v>
      </c>
      <c r="N168">
        <v>223.32</v>
      </c>
      <c r="O168">
        <v>418.67500000000001</v>
      </c>
      <c r="P168">
        <v>416.81900000000002</v>
      </c>
      <c r="Q168">
        <v>163.738</v>
      </c>
      <c r="R168">
        <v>255.62</v>
      </c>
      <c r="S168" s="373">
        <f>+INDEX(Tabla2[Salarios],MATCH(YEAR(Tabla3[[#This Row],[Fecha]]),Tabla2[año],0))/Tabla3[[#This Row],[TRM año de cálculo $/USD]]</f>
        <v>225.5477483455509</v>
      </c>
      <c r="T168">
        <f>+Tabla3[[#This Row],[IPC]]/Tabla3[[#This Row],[TRM año de cálculo $/USD]]</f>
        <v>2.7658920379614906E-2</v>
      </c>
      <c r="AF168" s="367">
        <f t="shared" si="2"/>
        <v>39965</v>
      </c>
      <c r="AG168" s="368">
        <v>39978</v>
      </c>
      <c r="AH168" s="369">
        <v>2015.4</v>
      </c>
    </row>
    <row r="169" spans="8:34">
      <c r="H169" s="365">
        <v>44835</v>
      </c>
      <c r="I169" s="373">
        <f>+AVERAGEIF(TRM_dia[MES],Tabla3[[#This Row],[Fecha]],TRM_dia[TRM])</f>
        <v>4711.8303225806467</v>
      </c>
      <c r="J169">
        <v>319.09300000000002</v>
      </c>
      <c r="K169">
        <v>123.51</v>
      </c>
      <c r="L169">
        <v>337.82400000000001</v>
      </c>
      <c r="M169">
        <v>156.12899999999999</v>
      </c>
      <c r="N169">
        <v>223.32</v>
      </c>
      <c r="O169">
        <v>418.67500000000001</v>
      </c>
      <c r="P169">
        <v>406.55500000000001</v>
      </c>
      <c r="Q169">
        <v>164.53</v>
      </c>
      <c r="R169">
        <v>256.00700000000001</v>
      </c>
      <c r="S169" s="373">
        <f>+INDEX(Tabla2[Salarios],MATCH(YEAR(Tabla3[[#This Row],[Fecha]]),Tabla2[año],0))/Tabla3[[#This Row],[TRM año de cálculo $/USD]]</f>
        <v>212.23175104750055</v>
      </c>
      <c r="T169">
        <f>+Tabla3[[#This Row],[IPC]]/Tabla3[[#This Row],[TRM año de cálculo $/USD]]</f>
        <v>2.6212743571876793E-2</v>
      </c>
      <c r="AF169" s="367">
        <f t="shared" si="2"/>
        <v>39965</v>
      </c>
      <c r="AG169" s="368">
        <v>39979</v>
      </c>
      <c r="AH169" s="369">
        <v>2015.4</v>
      </c>
    </row>
    <row r="170" spans="8:34">
      <c r="H170" s="365">
        <v>44866</v>
      </c>
      <c r="I170" s="373">
        <f>+AVERAGEIF(TRM_dia[MES],Tabla3[[#This Row],[Fecha]],TRM_dia[TRM])</f>
        <v>4926.6606666666667</v>
      </c>
      <c r="J170">
        <v>309.16500000000002</v>
      </c>
      <c r="K170">
        <v>124.46</v>
      </c>
      <c r="L170">
        <v>337.82400000000001</v>
      </c>
      <c r="M170">
        <v>155.43</v>
      </c>
      <c r="N170">
        <v>223.32</v>
      </c>
      <c r="O170">
        <v>418.67500000000001</v>
      </c>
      <c r="P170">
        <v>408.86099999999999</v>
      </c>
      <c r="Q170">
        <v>165.88200000000001</v>
      </c>
      <c r="R170">
        <v>257.63799999999998</v>
      </c>
      <c r="S170" s="373">
        <f>+INDEX(Tabla2[Salarios],MATCH(YEAR(Tabla3[[#This Row],[Fecha]]),Tabla2[año],0))/Tabla3[[#This Row],[TRM año de cálculo $/USD]]</f>
        <v>202.97724313872641</v>
      </c>
      <c r="T170">
        <f>+Tabla3[[#This Row],[IPC]]/Tabla3[[#This Row],[TRM año de cálculo $/USD]]</f>
        <v>2.526254768104589E-2</v>
      </c>
      <c r="AF170" s="367">
        <f t="shared" si="2"/>
        <v>39965</v>
      </c>
      <c r="AG170" s="368">
        <v>39980</v>
      </c>
      <c r="AH170" s="369">
        <v>2015.4</v>
      </c>
    </row>
    <row r="171" spans="8:34">
      <c r="H171" s="365">
        <v>44896</v>
      </c>
      <c r="I171" s="373">
        <f>+AVERAGEIF(TRM_dia[MES],Tabla3[[#This Row],[Fecha]],TRM_dia[TRM])</f>
        <v>4788.4906451612896</v>
      </c>
      <c r="J171">
        <v>300.83999999999997</v>
      </c>
      <c r="K171">
        <v>126.03</v>
      </c>
      <c r="L171">
        <v>337.82400000000001</v>
      </c>
      <c r="M171">
        <v>156.238</v>
      </c>
      <c r="N171">
        <v>223.68199999999999</v>
      </c>
      <c r="O171">
        <v>418.67500000000001</v>
      </c>
      <c r="P171">
        <v>410.30700000000002</v>
      </c>
      <c r="Q171">
        <v>167.04400000000001</v>
      </c>
      <c r="R171">
        <v>268.72500000000002</v>
      </c>
      <c r="S171" s="373">
        <f>+INDEX(Tabla2[Salarios],MATCH(YEAR(Tabla3[[#This Row],[Fecha]]),Tabla2[año],0))/Tabla3[[#This Row],[TRM año de cálculo $/USD]]</f>
        <v>208.83407196597275</v>
      </c>
      <c r="T171">
        <f>+Tabla3[[#This Row],[IPC]]/Tabla3[[#This Row],[TRM año de cálculo $/USD]]</f>
        <v>2.6319358089871545E-2</v>
      </c>
      <c r="AF171" s="367">
        <f t="shared" si="2"/>
        <v>39965</v>
      </c>
      <c r="AG171" s="368">
        <v>39981</v>
      </c>
      <c r="AH171" s="369">
        <v>2014.91</v>
      </c>
    </row>
    <row r="172" spans="8:34">
      <c r="H172" s="365">
        <v>44927</v>
      </c>
      <c r="I172" s="373">
        <f>+AVERAGEIF(TRM_dia[MES],Tabla3[[#This Row],[Fecha]],TRM_dia[TRM])</f>
        <v>4715.2038709677445</v>
      </c>
      <c r="J172">
        <v>293.98099999999999</v>
      </c>
      <c r="K172">
        <v>128.27000000000001</v>
      </c>
      <c r="L172">
        <v>353.08300000000003</v>
      </c>
      <c r="M172">
        <v>170.17</v>
      </c>
      <c r="N172">
        <v>233.28399999999999</v>
      </c>
      <c r="O172">
        <v>418.67500000000001</v>
      </c>
      <c r="P172">
        <v>410.56099999999998</v>
      </c>
      <c r="Q172">
        <v>170.88900000000001</v>
      </c>
      <c r="R172">
        <v>270.25799999999998</v>
      </c>
      <c r="S172" s="373">
        <f>+INDEX(Tabla2[Salarios],MATCH(YEAR(Tabla3[[#This Row],[Fecha]]),Tabla2[año],0))/Tabla3[[#This Row],[TRM año de cálculo $/USD]]</f>
        <v>246.0126925035635</v>
      </c>
      <c r="T172">
        <f>+Tabla3[[#This Row],[IPC]]/Tabla3[[#This Row],[TRM año de cálculo $/USD]]</f>
        <v>2.7203489713303528E-2</v>
      </c>
      <c r="AF172" s="367">
        <f t="shared" si="2"/>
        <v>39965</v>
      </c>
      <c r="AG172" s="368">
        <v>39982</v>
      </c>
      <c r="AH172" s="369">
        <v>2071.29</v>
      </c>
    </row>
    <row r="173" spans="8:34">
      <c r="H173" s="365">
        <v>44958</v>
      </c>
      <c r="I173" s="373">
        <f>+AVERAGEIF(TRM_dia[MES],Tabla3[[#This Row],[Fecha]],TRM_dia[TRM])</f>
        <v>4803.1125000000002</v>
      </c>
      <c r="J173">
        <v>295.91199999999998</v>
      </c>
      <c r="K173">
        <v>130.4</v>
      </c>
      <c r="L173">
        <v>353.64699999999999</v>
      </c>
      <c r="M173">
        <v>171.86199999999999</v>
      </c>
      <c r="N173">
        <v>238.61</v>
      </c>
      <c r="O173">
        <v>418.69400000000002</v>
      </c>
      <c r="P173">
        <v>411.202</v>
      </c>
      <c r="Q173">
        <v>170.858</v>
      </c>
      <c r="R173">
        <v>270.988</v>
      </c>
      <c r="S173" s="373">
        <f>+INDEX(Tabla2[Salarios],MATCH(YEAR(Tabla3[[#This Row],[Fecha]]),Tabla2[año],0))/Tabla3[[#This Row],[TRM año de cálculo $/USD]]</f>
        <v>241.51006248552369</v>
      </c>
      <c r="T173">
        <f>+Tabla3[[#This Row],[IPC]]/Tabla3[[#This Row],[TRM año de cálculo $/USD]]</f>
        <v>2.7149062196648529E-2</v>
      </c>
      <c r="AF173" s="367">
        <f t="shared" si="2"/>
        <v>39965</v>
      </c>
      <c r="AG173" s="368">
        <v>39983</v>
      </c>
      <c r="AH173" s="369">
        <v>2074.7199999999998</v>
      </c>
    </row>
    <row r="174" spans="8:34">
      <c r="H174" s="365">
        <v>44986</v>
      </c>
      <c r="I174" s="373">
        <f>+AVERAGEIF(TRM_dia[MES],Tabla3[[#This Row],[Fecha]],TRM_dia[TRM])</f>
        <v>4766.3058064516117</v>
      </c>
      <c r="J174">
        <v>294.08800000000002</v>
      </c>
      <c r="K174">
        <v>131.77000000000001</v>
      </c>
      <c r="L174">
        <v>353.64699999999999</v>
      </c>
      <c r="M174">
        <v>173.29400000000001</v>
      </c>
      <c r="N174">
        <v>244.64400000000001</v>
      </c>
      <c r="O174">
        <v>418.69400000000002</v>
      </c>
      <c r="P174">
        <v>413.64100000000002</v>
      </c>
      <c r="Q174">
        <v>171.041</v>
      </c>
      <c r="R174">
        <v>271.108</v>
      </c>
      <c r="S174" s="373">
        <f>+INDEX(Tabla2[Salarios],MATCH(YEAR(Tabla3[[#This Row],[Fecha]]),Tabla2[año],0))/Tabla3[[#This Row],[TRM año de cálculo $/USD]]</f>
        <v>243.37506805162155</v>
      </c>
      <c r="T174">
        <f>+Tabla3[[#This Row],[IPC]]/Tabla3[[#This Row],[TRM año de cálculo $/USD]]</f>
        <v>2.7646148894105323E-2</v>
      </c>
      <c r="AF174" s="367">
        <f t="shared" si="2"/>
        <v>39965</v>
      </c>
      <c r="AG174" s="368">
        <v>39984</v>
      </c>
      <c r="AH174" s="369">
        <v>2108.1999999999998</v>
      </c>
    </row>
    <row r="175" spans="8:34">
      <c r="H175" s="365">
        <v>45017</v>
      </c>
      <c r="I175" s="373">
        <f>+AVERAGEIF(TRM_dia[MES],Tabla3[[#This Row],[Fecha]],TRM_dia[TRM])</f>
        <v>4542.6743333333325</v>
      </c>
      <c r="J175">
        <v>298.19600000000003</v>
      </c>
      <c r="K175">
        <v>132.80000000000001</v>
      </c>
      <c r="L175">
        <v>352.62099999999998</v>
      </c>
      <c r="M175">
        <v>173.29400000000001</v>
      </c>
      <c r="N175">
        <v>247.45599999999999</v>
      </c>
      <c r="O175">
        <v>418.69400000000002</v>
      </c>
      <c r="P175">
        <v>414.72300000000001</v>
      </c>
      <c r="Q175">
        <v>171.35499999999999</v>
      </c>
      <c r="R175">
        <v>271.11900000000003</v>
      </c>
      <c r="S175" s="373">
        <f>+INDEX(Tabla2[Salarios],MATCH(YEAR(Tabla3[[#This Row],[Fecha]]),Tabla2[año],0))/Tabla3[[#This Row],[TRM año de cálculo $/USD]]</f>
        <v>255.35618776105682</v>
      </c>
      <c r="T175">
        <f>+Tabla3[[#This Row],[IPC]]/Tabla3[[#This Row],[TRM año de cálculo $/USD]]</f>
        <v>2.9233880805748576E-2</v>
      </c>
      <c r="AF175" s="367">
        <f t="shared" si="2"/>
        <v>39965</v>
      </c>
      <c r="AG175" s="368">
        <v>39985</v>
      </c>
      <c r="AH175" s="369">
        <v>2108.1999999999998</v>
      </c>
    </row>
    <row r="176" spans="8:34">
      <c r="H176" s="365">
        <v>45047</v>
      </c>
      <c r="I176" s="373">
        <f>+AVERAGEIF(TRM_dia[MES],Tabla3[[#This Row],[Fecha]],TRM_dia[TRM])</f>
        <v>4540.0890322580644</v>
      </c>
      <c r="J176">
        <v>305.322</v>
      </c>
      <c r="K176">
        <v>133.38</v>
      </c>
      <c r="L176">
        <v>366.30900000000003</v>
      </c>
      <c r="M176">
        <v>173.90899999999999</v>
      </c>
      <c r="N176">
        <v>247.93600000000001</v>
      </c>
      <c r="O176">
        <v>418.69400000000002</v>
      </c>
      <c r="P176">
        <v>415.858</v>
      </c>
      <c r="Q176">
        <v>171.74799999999999</v>
      </c>
      <c r="R176">
        <v>271.12</v>
      </c>
      <c r="S176" s="373">
        <f>+INDEX(Tabla2[Salarios],MATCH(YEAR(Tabla3[[#This Row],[Fecha]]),Tabla2[año],0))/Tabla3[[#This Row],[TRM año de cálculo $/USD]]</f>
        <v>255.50159738234493</v>
      </c>
      <c r="T176">
        <f>+Tabla3[[#This Row],[IPC]]/Tabla3[[#This Row],[TRM año de cálculo $/USD]]</f>
        <v>2.9378278499014799E-2</v>
      </c>
      <c r="AF176" s="367">
        <f t="shared" si="2"/>
        <v>39965</v>
      </c>
      <c r="AG176" s="368">
        <v>39986</v>
      </c>
      <c r="AH176" s="369">
        <v>2108.1999999999998</v>
      </c>
    </row>
    <row r="177" spans="8:34">
      <c r="H177" s="365">
        <v>45078</v>
      </c>
      <c r="I177" s="373">
        <f>+AVERAGEIF(TRM_dia[MES],Tabla3[[#This Row],[Fecha]],TRM_dia[TRM])</f>
        <v>4209.2680000000009</v>
      </c>
      <c r="J177">
        <v>303.45400000000001</v>
      </c>
      <c r="K177">
        <v>133.78</v>
      </c>
      <c r="L177">
        <v>367.495</v>
      </c>
      <c r="M177">
        <v>172.01499999999999</v>
      </c>
      <c r="N177">
        <v>249.19300000000001</v>
      </c>
      <c r="O177">
        <v>418.69400000000002</v>
      </c>
      <c r="P177">
        <v>414.92700000000002</v>
      </c>
      <c r="Q177">
        <v>172.78</v>
      </c>
      <c r="R177">
        <v>274.69600000000003</v>
      </c>
      <c r="S177" s="373">
        <f>+INDEX(Tabla2[Salarios],MATCH(YEAR(Tabla3[[#This Row],[Fecha]]),Tabla2[año],0))/Tabla3[[#This Row],[TRM año de cálculo $/USD]]</f>
        <v>275.58235778762474</v>
      </c>
      <c r="T177">
        <f>+Tabla3[[#This Row],[IPC]]/Tabla3[[#This Row],[TRM año de cálculo $/USD]]</f>
        <v>3.1782248124852107E-2</v>
      </c>
      <c r="AF177" s="367">
        <f t="shared" si="2"/>
        <v>39965</v>
      </c>
      <c r="AG177" s="368">
        <v>39987</v>
      </c>
      <c r="AH177" s="369">
        <v>2108.1999999999998</v>
      </c>
    </row>
    <row r="178" spans="8:34">
      <c r="H178" s="365">
        <v>45108</v>
      </c>
      <c r="I178" s="373">
        <f>+AVERAGEIF(TRM_dia[MES],Tabla3[[#This Row],[Fecha]],TRM_dia[TRM])</f>
        <v>4069.2335483870975</v>
      </c>
      <c r="J178">
        <v>296.88200000000001</v>
      </c>
      <c r="K178">
        <v>134.44999999999999</v>
      </c>
      <c r="L178">
        <v>383.209</v>
      </c>
      <c r="M178">
        <v>171.60300000000001</v>
      </c>
      <c r="N178">
        <v>250.36600000000001</v>
      </c>
      <c r="O178">
        <v>418.69400000000002</v>
      </c>
      <c r="P178">
        <v>416.84500000000003</v>
      </c>
      <c r="Q178">
        <v>172.321</v>
      </c>
      <c r="R178">
        <v>274.96600000000001</v>
      </c>
      <c r="S178" s="373">
        <f>+INDEX(Tabla2[Salarios],MATCH(YEAR(Tabla3[[#This Row],[Fecha]]),Tabla2[año],0))/Tabla3[[#This Row],[TRM año de cálculo $/USD]]</f>
        <v>285.06596787981942</v>
      </c>
      <c r="T178">
        <f>+Tabla3[[#This Row],[IPC]]/Tabla3[[#This Row],[TRM año de cálculo $/USD]]</f>
        <v>3.3040620156415276E-2</v>
      </c>
      <c r="AF178" s="367">
        <f t="shared" si="2"/>
        <v>39965</v>
      </c>
      <c r="AG178" s="368">
        <v>39988</v>
      </c>
      <c r="AH178" s="369">
        <v>2165</v>
      </c>
    </row>
    <row r="179" spans="8:34">
      <c r="H179" s="365">
        <v>45139</v>
      </c>
      <c r="I179" s="373">
        <f>+AVERAGEIF(TRM_dia[MES],Tabla3[[#This Row],[Fecha]],TRM_dia[TRM])</f>
        <v>4070.7251612903228</v>
      </c>
      <c r="J179">
        <v>297.57600000000002</v>
      </c>
      <c r="K179">
        <v>135.38999999999999</v>
      </c>
      <c r="L179">
        <v>383.209</v>
      </c>
      <c r="M179">
        <v>172.191</v>
      </c>
      <c r="N179">
        <v>250.87799999999999</v>
      </c>
      <c r="O179">
        <v>418.69400000000002</v>
      </c>
      <c r="P179">
        <v>418.58699999999999</v>
      </c>
      <c r="Q179">
        <v>173.102</v>
      </c>
      <c r="R179">
        <v>275.01499999999999</v>
      </c>
      <c r="S179" s="373">
        <f>+INDEX(Tabla2[Salarios],MATCH(YEAR(Tabla3[[#This Row],[Fecha]]),Tabla2[año],0))/Tabla3[[#This Row],[TRM año de cálculo $/USD]]</f>
        <v>284.96151276209167</v>
      </c>
      <c r="T179">
        <f>+Tabla3[[#This Row],[IPC]]/Tabla3[[#This Row],[TRM año de cálculo $/USD]]</f>
        <v>3.3259430355913437E-2</v>
      </c>
      <c r="AF179" s="367">
        <f t="shared" si="2"/>
        <v>39965</v>
      </c>
      <c r="AG179" s="368">
        <v>39989</v>
      </c>
      <c r="AH179" s="369">
        <v>2158.7199999999998</v>
      </c>
    </row>
    <row r="180" spans="8:34">
      <c r="H180" s="365">
        <v>45170</v>
      </c>
      <c r="I180" s="373">
        <f>+AVERAGEIF(TRM_dia[MES],Tabla3[[#This Row],[Fecha]],TRM_dia[TRM])</f>
        <v>4004.5206666666659</v>
      </c>
      <c r="J180">
        <v>290.07400000000001</v>
      </c>
      <c r="K180">
        <v>136.11000000000001</v>
      </c>
      <c r="L180">
        <v>378.2</v>
      </c>
      <c r="M180">
        <v>171.63900000000001</v>
      </c>
      <c r="N180">
        <v>244.92500000000001</v>
      </c>
      <c r="O180">
        <v>418.69400000000002</v>
      </c>
      <c r="P180">
        <v>418.58699999999999</v>
      </c>
      <c r="Q180">
        <v>173.38</v>
      </c>
      <c r="R180">
        <v>275.01499999999999</v>
      </c>
      <c r="S180" s="373">
        <f>+INDEX(Tabla2[Salarios],MATCH(YEAR(Tabla3[[#This Row],[Fecha]]),Tabla2[año],0))/Tabla3[[#This Row],[TRM año de cálculo $/USD]]</f>
        <v>289.67262165875536</v>
      </c>
      <c r="T180">
        <f>+Tabla3[[#This Row],[IPC]]/Tabla3[[#This Row],[TRM año de cálculo $/USD]]</f>
        <v>3.3989086667218275E-2</v>
      </c>
      <c r="AF180" s="367">
        <f t="shared" si="2"/>
        <v>39965</v>
      </c>
      <c r="AG180" s="368">
        <v>39990</v>
      </c>
      <c r="AH180" s="369">
        <v>2188.5</v>
      </c>
    </row>
    <row r="181" spans="8:34">
      <c r="H181" s="365">
        <v>45200</v>
      </c>
      <c r="I181" s="373">
        <f>+AVERAGEIF(TRM_dia[MES],Tabla3[[#This Row],[Fecha]],TRM_dia[TRM])</f>
        <v>4222.4332258064514</v>
      </c>
      <c r="J181">
        <v>286.39999999999998</v>
      </c>
      <c r="K181">
        <v>136.44999999999999</v>
      </c>
      <c r="L181">
        <v>378.2</v>
      </c>
      <c r="M181">
        <v>171.63900000000001</v>
      </c>
      <c r="N181">
        <v>245.09700000000001</v>
      </c>
      <c r="O181">
        <v>418.69400000000002</v>
      </c>
      <c r="P181">
        <v>419.322</v>
      </c>
      <c r="Q181">
        <v>174.614</v>
      </c>
      <c r="R181">
        <v>275.61799999999999</v>
      </c>
      <c r="S181" s="373">
        <f>+INDEX(Tabla2[Salarios],MATCH(YEAR(Tabla3[[#This Row],[Fecha]]),Tabla2[año],0))/Tabla3[[#This Row],[TRM año de cálculo $/USD]]</f>
        <v>274.72311294596</v>
      </c>
      <c r="T181">
        <f>+Tabla3[[#This Row],[IPC]]/Tabla3[[#This Row],[TRM año de cálculo $/USD]]</f>
        <v>3.2315490311617449E-2</v>
      </c>
      <c r="AF181" s="367">
        <f t="shared" si="2"/>
        <v>39965</v>
      </c>
      <c r="AG181" s="368">
        <v>39991</v>
      </c>
      <c r="AH181" s="369">
        <v>2158.67</v>
      </c>
    </row>
    <row r="182" spans="8:34">
      <c r="H182" s="365">
        <v>45231</v>
      </c>
      <c r="I182" s="373">
        <f>+AVERAGEIF(TRM_dia[MES],Tabla3[[#This Row],[Fecha]],TRM_dia[TRM])</f>
        <v>4038.804666666666</v>
      </c>
      <c r="J182">
        <v>283.11900000000003</v>
      </c>
      <c r="K182">
        <v>137.09</v>
      </c>
      <c r="L182">
        <v>378.2</v>
      </c>
      <c r="M182">
        <v>171.63900000000001</v>
      </c>
      <c r="N182">
        <v>244.46199999999999</v>
      </c>
      <c r="O182">
        <v>418.69400000000002</v>
      </c>
      <c r="P182">
        <v>419.322</v>
      </c>
      <c r="Q182">
        <v>175.53299999999999</v>
      </c>
      <c r="R182">
        <v>275.99900000000002</v>
      </c>
      <c r="S182" s="373">
        <f>+INDEX(Tabla2[Salarios],MATCH(YEAR(Tabla3[[#This Row],[Fecha]]),Tabla2[año],0))/Tabla3[[#This Row],[TRM año de cálculo $/USD]]</f>
        <v>287.21369210395096</v>
      </c>
      <c r="T182">
        <f>+Tabla3[[#This Row],[IPC]]/Tabla3[[#This Row],[TRM año de cálculo $/USD]]</f>
        <v>3.3943211250457447E-2</v>
      </c>
      <c r="AF182" s="367">
        <f t="shared" si="2"/>
        <v>39965</v>
      </c>
      <c r="AG182" s="368">
        <v>39992</v>
      </c>
      <c r="AH182" s="369">
        <v>2158.67</v>
      </c>
    </row>
    <row r="183" spans="8:34">
      <c r="H183" s="365">
        <v>45261</v>
      </c>
      <c r="I183" s="373">
        <f>+AVERAGEIF(TRM_dia[MES],Tabla3[[#This Row],[Fecha]],TRM_dia[TRM])</f>
        <v>3948.2067741935471</v>
      </c>
      <c r="J183">
        <v>281.25900000000001</v>
      </c>
      <c r="K183">
        <v>137.72</v>
      </c>
      <c r="L183">
        <v>378.2</v>
      </c>
      <c r="M183">
        <v>171.63900000000001</v>
      </c>
      <c r="N183">
        <v>244.667</v>
      </c>
      <c r="O183">
        <v>418.69400000000002</v>
      </c>
      <c r="P183">
        <v>425.88299999999998</v>
      </c>
      <c r="Q183">
        <v>175.44800000000001</v>
      </c>
      <c r="R183">
        <v>276.024</v>
      </c>
      <c r="S183" s="373">
        <f>+INDEX(Tabla2[Salarios],MATCH(YEAR(Tabla3[[#This Row],[Fecha]]),Tabla2[año],0))/Tabla3[[#This Row],[TRM año de cálculo $/USD]]</f>
        <v>293.80426769490543</v>
      </c>
      <c r="T183">
        <f>+Tabla3[[#This Row],[IPC]]/Tabla3[[#This Row],[TRM año de cálculo $/USD]]</f>
        <v>3.4881658402536535E-2</v>
      </c>
      <c r="AF183" s="367">
        <f t="shared" si="2"/>
        <v>39965</v>
      </c>
      <c r="AG183" s="368">
        <v>39993</v>
      </c>
      <c r="AH183" s="369">
        <v>2158.67</v>
      </c>
    </row>
    <row r="184" spans="8:34">
      <c r="H184" s="649">
        <v>45292</v>
      </c>
      <c r="I184" s="650">
        <f>+AVERAGEIF(TRM_dia[MES],Tabla3[[#This Row],[Fecha]],TRM_dia[TRM])</f>
        <v>3915.1987096774187</v>
      </c>
      <c r="J184" s="651">
        <v>281.779</v>
      </c>
      <c r="K184" s="652">
        <v>138.97999999999999</v>
      </c>
      <c r="L184" s="652">
        <v>387.012</v>
      </c>
      <c r="M184" s="652">
        <v>174.19499999999999</v>
      </c>
      <c r="N184" s="652">
        <v>246.39</v>
      </c>
      <c r="O184" s="652">
        <v>418.69400000000002</v>
      </c>
      <c r="P184" s="652">
        <v>428.63499999999999</v>
      </c>
      <c r="Q184" s="652">
        <v>178.553</v>
      </c>
      <c r="R184" s="652">
        <v>282.37900000000002</v>
      </c>
      <c r="S184" s="650">
        <f>+INDEX(Tabla2[Salarios],MATCH(YEAR(Tabla3[[#This Row],[Fecha]]),Tabla2[año],0))/Tabla3[[#This Row],[TRM año de cálculo $/USD]]</f>
        <v>332.03934114166833</v>
      </c>
      <c r="T184" s="652">
        <f>+Tabla3[[#This Row],[IPC]]/Tabla3[[#This Row],[TRM año de cálculo $/USD]]</f>
        <v>3.5497559716822349E-2</v>
      </c>
      <c r="AF184" s="367">
        <f t="shared" si="2"/>
        <v>39965</v>
      </c>
      <c r="AG184" s="368">
        <v>39994</v>
      </c>
      <c r="AH184" s="369">
        <v>2158.67</v>
      </c>
    </row>
    <row r="185" spans="8:34">
      <c r="H185" s="649">
        <v>45323</v>
      </c>
      <c r="I185" s="650">
        <f>+AVERAGEIF(TRM_dia[MES],Tabla3[[#This Row],[Fecha]],TRM_dia[TRM])</f>
        <v>3931.4386206896547</v>
      </c>
      <c r="J185" s="651">
        <v>288.49599999999998</v>
      </c>
      <c r="K185" s="652">
        <v>140.49</v>
      </c>
      <c r="L185" s="652">
        <v>387.18200000000002</v>
      </c>
      <c r="M185" s="652">
        <v>175.447</v>
      </c>
      <c r="N185" s="652">
        <v>247.489</v>
      </c>
      <c r="O185" s="652">
        <v>418.69400000000002</v>
      </c>
      <c r="P185" s="652">
        <v>428.63499999999999</v>
      </c>
      <c r="Q185" s="652">
        <v>178.90100000000001</v>
      </c>
      <c r="R185" s="652">
        <v>282.49799999999999</v>
      </c>
      <c r="S185" s="650">
        <f>+INDEX(Tabla2[Salarios],MATCH(YEAR(Tabla3[[#This Row],[Fecha]]),Tabla2[año],0))/Tabla3[[#This Row],[TRM año de cálculo $/USD]]</f>
        <v>330.6677594198211</v>
      </c>
      <c r="T185" s="652">
        <f>+Tabla3[[#This Row],[IPC]]/Tabla3[[#This Row],[TRM año de cálculo $/USD]]</f>
        <v>3.5735010400685129E-2</v>
      </c>
      <c r="AF185" s="367">
        <f t="shared" si="2"/>
        <v>39995</v>
      </c>
      <c r="AG185" s="368">
        <v>39995</v>
      </c>
      <c r="AH185" s="369">
        <v>2145.21</v>
      </c>
    </row>
    <row r="186" spans="8:34">
      <c r="H186" s="649">
        <v>45352</v>
      </c>
      <c r="I186" s="650">
        <f>+AVERAGEIF(TRM_dia[MES],Tabla3[[#This Row],[Fecha]],TRM_dia[TRM])</f>
        <v>3899.3412903225803</v>
      </c>
      <c r="J186" s="651">
        <v>289.36799999999999</v>
      </c>
      <c r="K186" s="652">
        <v>141.47999999999999</v>
      </c>
      <c r="L186" s="652">
        <v>392.30099999999999</v>
      </c>
      <c r="M186" s="652">
        <v>175.447</v>
      </c>
      <c r="N186" s="652">
        <v>248.203</v>
      </c>
      <c r="O186" s="652">
        <v>429.27699999999999</v>
      </c>
      <c r="P186" s="652">
        <v>430.57</v>
      </c>
      <c r="Q186" s="652">
        <v>180.048</v>
      </c>
      <c r="R186" s="652">
        <v>283.39600000000002</v>
      </c>
      <c r="S186" s="650">
        <f>+INDEX(Tabla2[Salarios],MATCH(YEAR(Tabla3[[#This Row],[Fecha]]),Tabla2[año],0))/Tabla3[[#This Row],[TRM año de cálculo $/USD]]</f>
        <v>333.38964281642939</v>
      </c>
      <c r="T186" s="652">
        <f>+Tabla3[[#This Row],[IPC]]/Tabla3[[#This Row],[TRM año de cálculo $/USD]]</f>
        <v>3.6283051281283403E-2</v>
      </c>
      <c r="AF186" s="367">
        <f t="shared" si="2"/>
        <v>39995</v>
      </c>
      <c r="AG186" s="368">
        <v>39996</v>
      </c>
      <c r="AH186" s="369">
        <v>2111.71</v>
      </c>
    </row>
    <row r="187" spans="8:34">
      <c r="H187" s="649">
        <v>45383</v>
      </c>
      <c r="I187" s="650">
        <f>+AVERAGEIF(TRM_dia[MES],Tabla3[[#This Row],[Fecha]],TRM_dia[TRM])</f>
        <v>3867.9753333333342</v>
      </c>
      <c r="J187" s="651">
        <v>285.262</v>
      </c>
      <c r="K187" s="652">
        <v>142.32</v>
      </c>
      <c r="L187" s="652">
        <v>393.63299999999998</v>
      </c>
      <c r="M187" s="652">
        <v>174.77799999999999</v>
      </c>
      <c r="N187" s="652">
        <v>248.637</v>
      </c>
      <c r="O187" s="652">
        <v>429.27699999999999</v>
      </c>
      <c r="P187" s="652">
        <v>426.375</v>
      </c>
      <c r="Q187" s="652">
        <v>180.77</v>
      </c>
      <c r="R187" s="652">
        <v>285.435</v>
      </c>
      <c r="S187" s="650">
        <f>+INDEX(Tabla2[Salarios],MATCH(YEAR(Tabla3[[#This Row],[Fecha]]),Tabla2[año],0))/Tabla3[[#This Row],[TRM año de cálculo $/USD]]</f>
        <v>336.09314640579396</v>
      </c>
      <c r="T187" s="652">
        <f>+Tabla3[[#This Row],[IPC]]/Tabla3[[#This Row],[TRM año de cálculo $/USD]]</f>
        <v>3.679444353574815E-2</v>
      </c>
      <c r="AF187" s="367">
        <f t="shared" si="2"/>
        <v>39995</v>
      </c>
      <c r="AG187" s="368">
        <v>39997</v>
      </c>
      <c r="AH187" s="369">
        <v>2096.23</v>
      </c>
    </row>
    <row r="188" spans="8:34">
      <c r="H188" s="649">
        <v>45413</v>
      </c>
      <c r="I188" s="650">
        <f>+AVERAGEIF(TRM_dia[MES],Tabla3[[#This Row],[Fecha]],TRM_dia[TRM])</f>
        <v>3869.1006451612907</v>
      </c>
      <c r="J188" s="651">
        <v>280.589</v>
      </c>
      <c r="K188" s="652">
        <v>142.91999999999999</v>
      </c>
      <c r="L188" s="652">
        <v>393.63299999999998</v>
      </c>
      <c r="M188" s="652">
        <v>174.57300000000001</v>
      </c>
      <c r="N188" s="652">
        <v>250.41900000000001</v>
      </c>
      <c r="O188" s="652">
        <v>429.27699999999999</v>
      </c>
      <c r="P188" s="652">
        <v>426.375</v>
      </c>
      <c r="Q188" s="652">
        <v>180.77</v>
      </c>
      <c r="R188" s="652">
        <v>285.435</v>
      </c>
      <c r="S188" s="650">
        <f>+INDEX(Tabla2[Salarios],MATCH(YEAR(Tabla3[[#This Row],[Fecha]]),Tabla2[año],0))/Tabla3[[#This Row],[TRM año de cálculo $/USD]]</f>
        <v>335.99539511224242</v>
      </c>
      <c r="T188" s="652">
        <f>+Tabla3[[#This Row],[IPC]]/Tabla3[[#This Row],[TRM año de cálculo $/USD]]</f>
        <v>3.6938816822647449E-2</v>
      </c>
      <c r="AF188" s="367">
        <f t="shared" si="2"/>
        <v>39995</v>
      </c>
      <c r="AG188" s="368">
        <v>39998</v>
      </c>
      <c r="AH188" s="369">
        <v>2086.36</v>
      </c>
    </row>
    <row r="189" spans="8:34">
      <c r="H189" s="649">
        <v>45444</v>
      </c>
      <c r="I189" s="650">
        <f>+AVERAGEIF(TRM_dia[MES],Tabla3[[#This Row],[Fecha]],TRM_dia[TRM])</f>
        <v>4042.7970000000005</v>
      </c>
      <c r="J189" s="651">
        <v>277.077</v>
      </c>
      <c r="K189" s="652">
        <v>143.38</v>
      </c>
      <c r="L189" s="652">
        <v>393.63299999999998</v>
      </c>
      <c r="M189" s="652">
        <v>175.04400000000001</v>
      </c>
      <c r="N189" s="652">
        <v>250.95099999999999</v>
      </c>
      <c r="O189" s="652">
        <v>429.27699999999999</v>
      </c>
      <c r="P189" s="652">
        <v>428.91</v>
      </c>
      <c r="Q189" s="652">
        <v>182.19900000000001</v>
      </c>
      <c r="R189" s="652">
        <v>290.06700000000001</v>
      </c>
      <c r="S189" s="650">
        <f>+INDEX(Tabla2[Salarios],MATCH(YEAR(Tabla3[[#This Row],[Fecha]]),Tabla2[año],0))/Tabla3[[#This Row],[TRM año de cálculo $/USD]]</f>
        <v>321.55955394248087</v>
      </c>
      <c r="T189" s="652">
        <f>+Tabla3[[#This Row],[IPC]]/Tabla3[[#This Row],[TRM año de cálculo $/USD]]</f>
        <v>3.5465545264825316E-2</v>
      </c>
      <c r="AF189" s="367">
        <f t="shared" si="2"/>
        <v>39995</v>
      </c>
      <c r="AG189" s="368">
        <v>39999</v>
      </c>
      <c r="AH189" s="369">
        <v>2086.36</v>
      </c>
    </row>
    <row r="190" spans="8:34">
      <c r="H190" s="649">
        <v>45474</v>
      </c>
      <c r="I190" s="650">
        <f>+AVERAGEIF(TRM_dia[MES],Tabla3[[#This Row],[Fecha]],TRM_dia[TRM])</f>
        <v>4036.921935483871</v>
      </c>
      <c r="J190" s="651">
        <v>275.23599999999999</v>
      </c>
      <c r="K190" s="652">
        <v>143.66999999999999</v>
      </c>
      <c r="L190" s="652">
        <v>399.04899999999998</v>
      </c>
      <c r="M190" s="652">
        <v>174.51</v>
      </c>
      <c r="N190" s="652">
        <v>251.32499999999999</v>
      </c>
      <c r="O190" s="652">
        <v>429.27699999999999</v>
      </c>
      <c r="P190" s="652">
        <v>429.80099999999999</v>
      </c>
      <c r="Q190" s="652">
        <v>182.19900000000001</v>
      </c>
      <c r="R190" s="652">
        <v>290.93200000000002</v>
      </c>
      <c r="S190" s="650">
        <f>+INDEX(Tabla2[Salarios],MATCH(YEAR(Tabla3[[#This Row],[Fecha]]),Tabla2[año],0))/Tabla3[[#This Row],[TRM año de cálculo $/USD]]</f>
        <v>322.027530077611</v>
      </c>
      <c r="T190" s="652">
        <f>+Tabla3[[#This Row],[IPC]]/Tabla3[[#This Row],[TRM año de cálculo $/USD]]</f>
        <v>3.5588996343269515E-2</v>
      </c>
      <c r="AF190" s="367">
        <f t="shared" si="2"/>
        <v>39995</v>
      </c>
      <c r="AG190" s="368">
        <v>40000</v>
      </c>
      <c r="AH190" s="369">
        <v>2086.36</v>
      </c>
    </row>
    <row r="191" spans="8:34">
      <c r="H191" s="649">
        <v>45505</v>
      </c>
      <c r="I191" s="650">
        <f>+AVERAGEIF(TRM_dia[MES],Tabla3[[#This Row],[Fecha]],TRM_dia[TRM])</f>
        <v>4065.5464516129036</v>
      </c>
      <c r="J191" s="651">
        <v>271.89400000000001</v>
      </c>
      <c r="K191" s="652">
        <v>143.66999999999999</v>
      </c>
      <c r="L191" s="652">
        <v>399.88900000000001</v>
      </c>
      <c r="M191" s="652">
        <v>175.114</v>
      </c>
      <c r="N191" s="652">
        <v>251.32499999999999</v>
      </c>
      <c r="O191" s="652">
        <v>429.27699999999999</v>
      </c>
      <c r="P191" s="652">
        <v>429.80099999999999</v>
      </c>
      <c r="Q191" s="652">
        <v>182.19900000000001</v>
      </c>
      <c r="R191" s="652">
        <v>291.01299999999998</v>
      </c>
      <c r="S191" s="650">
        <f>+INDEX(Tabla2[Salarios],MATCH(YEAR(Tabla3[[#This Row],[Fecha]]),Tabla2[año],0))/Tabla3[[#This Row],[TRM año de cálculo $/USD]]</f>
        <v>319.76021316501198</v>
      </c>
      <c r="T191" s="652">
        <f>+Tabla3[[#This Row],[IPC]]/Tabla3[[#This Row],[TRM año de cálculo $/USD]]</f>
        <v>3.5338422942628664E-2</v>
      </c>
      <c r="AF191" s="367">
        <f t="shared" si="2"/>
        <v>39995</v>
      </c>
      <c r="AG191" s="368">
        <v>40001</v>
      </c>
      <c r="AH191" s="369">
        <v>2109.08</v>
      </c>
    </row>
    <row r="192" spans="8:34">
      <c r="H192" s="649">
        <v>45536</v>
      </c>
      <c r="I192" s="650">
        <f>+AVERAGEIF(TRM_dia[MES],Tabla3[[#This Row],[Fecha]],TRM_dia[TRM])</f>
        <v>4182.5123333333349</v>
      </c>
      <c r="J192" s="651">
        <v>264.77600000000001</v>
      </c>
      <c r="K192" s="652">
        <v>144.02000000000001</v>
      </c>
      <c r="L192" s="652">
        <v>399.88900000000001</v>
      </c>
      <c r="M192" s="652">
        <v>175.364</v>
      </c>
      <c r="N192" s="652">
        <v>251.59100000000001</v>
      </c>
      <c r="O192" s="652">
        <v>429.27699999999999</v>
      </c>
      <c r="P192" s="652">
        <v>429.80099999999999</v>
      </c>
      <c r="Q192" s="652">
        <v>182.19900000000001</v>
      </c>
      <c r="R192" s="652">
        <v>291.01299999999998</v>
      </c>
      <c r="S192" s="650">
        <f>+INDEX(Tabla2[Salarios],MATCH(YEAR(Tabla3[[#This Row],[Fecha]]),Tabla2[año],0))/Tabla3[[#This Row],[TRM año de cálculo $/USD]]</f>
        <v>310.81797168639537</v>
      </c>
      <c r="T192" s="652">
        <f>+Tabla3[[#This Row],[IPC]]/Tabla3[[#This Row],[TRM año de cálculo $/USD]]</f>
        <v>3.4433849447903592E-2</v>
      </c>
      <c r="AF192" s="367">
        <f t="shared" si="2"/>
        <v>39995</v>
      </c>
      <c r="AG192" s="368">
        <v>40002</v>
      </c>
      <c r="AH192" s="369">
        <v>2090.35</v>
      </c>
    </row>
    <row r="193" spans="8:34">
      <c r="H193" s="649">
        <v>45566</v>
      </c>
      <c r="I193" s="650">
        <f>+AVERAGEIF(TRM_dia[MES],Tabla3[[#This Row],[Fecha]],TRM_dia[TRM])</f>
        <v>4249.4699999999984</v>
      </c>
      <c r="J193" s="651">
        <v>265.29700000000003</v>
      </c>
      <c r="K193" s="652">
        <v>143.83000000000001</v>
      </c>
      <c r="L193" s="652">
        <v>399.88900000000001</v>
      </c>
      <c r="M193" s="652">
        <v>178.501</v>
      </c>
      <c r="N193" s="652">
        <v>251.66300000000001</v>
      </c>
      <c r="O193" s="652">
        <v>429.27699999999999</v>
      </c>
      <c r="P193" s="652">
        <v>432.642</v>
      </c>
      <c r="Q193" s="652">
        <v>182.86500000000001</v>
      </c>
      <c r="R193" s="652">
        <v>291.10500000000002</v>
      </c>
      <c r="S193" s="650">
        <f>+INDEX(Tabla2[Salarios],MATCH(YEAR(Tabla3[[#This Row],[Fecha]]),Tabla2[año],0))/Tabla3[[#This Row],[TRM año de cálculo $/USD]]</f>
        <v>305.9205030274365</v>
      </c>
      <c r="T193" s="652">
        <f>+Tabla3[[#This Row],[IPC]]/Tabla3[[#This Row],[TRM año de cálculo $/USD]]</f>
        <v>3.3846573808027837E-2</v>
      </c>
      <c r="AF193" s="367">
        <f t="shared" si="2"/>
        <v>39995</v>
      </c>
      <c r="AG193" s="368">
        <v>40003</v>
      </c>
      <c r="AH193" s="369">
        <v>2108.1999999999998</v>
      </c>
    </row>
    <row r="194" spans="8:34">
      <c r="H194" s="649">
        <v>45597</v>
      </c>
      <c r="I194" s="650">
        <f>+AVERAGEIF(TRM_dia[MES],Tabla3[[#This Row],[Fecha]],TRM_dia[TRM])</f>
        <v>4408.6523333333334</v>
      </c>
      <c r="J194" s="651">
        <v>264.61200000000002</v>
      </c>
      <c r="K194" s="652">
        <v>144.22</v>
      </c>
      <c r="L194" s="652">
        <v>399.88900000000001</v>
      </c>
      <c r="M194" s="652">
        <v>177.99700000000001</v>
      </c>
      <c r="N194" s="652">
        <v>251.87799999999999</v>
      </c>
      <c r="O194" s="652">
        <v>429.27699999999999</v>
      </c>
      <c r="P194" s="652">
        <v>432.642</v>
      </c>
      <c r="Q194" s="652">
        <v>185.00700000000001</v>
      </c>
      <c r="R194" s="652">
        <v>291.12900000000002</v>
      </c>
      <c r="S194" s="650">
        <f>+INDEX(Tabla2[Salarios],MATCH(YEAR(Tabla3[[#This Row],[Fecha]]),Tabla2[año],0))/Tabla3[[#This Row],[TRM año de cálculo $/USD]]</f>
        <v>294.87469224344221</v>
      </c>
      <c r="T194" s="652">
        <f>+Tabla3[[#This Row],[IPC]]/Tabla3[[#This Row],[TRM año de cálculo $/USD]]</f>
        <v>3.2712944704114795E-2</v>
      </c>
      <c r="AF194" s="367">
        <f t="shared" si="2"/>
        <v>39995</v>
      </c>
      <c r="AG194" s="368">
        <v>40004</v>
      </c>
      <c r="AH194" s="369">
        <v>2105.36</v>
      </c>
    </row>
    <row r="195" spans="8:34">
      <c r="H195" s="649">
        <v>45627</v>
      </c>
      <c r="I195" s="650">
        <f>+AVERAGEIF(TRM_dia[MES],Tabla3[[#This Row],[Fecha]],TRM_dia[TRM])</f>
        <v>4385.1487096774199</v>
      </c>
      <c r="J195" s="651">
        <v>255.18600000000001</v>
      </c>
      <c r="K195" s="652">
        <v>144.88</v>
      </c>
      <c r="L195" s="652">
        <v>399.88900000000001</v>
      </c>
      <c r="M195" s="652">
        <v>177.40899999999999</v>
      </c>
      <c r="N195" s="652">
        <v>252.15799999999999</v>
      </c>
      <c r="O195" s="652">
        <v>429.27699999999999</v>
      </c>
      <c r="P195" s="652">
        <v>432.642</v>
      </c>
      <c r="Q195" s="652">
        <v>185.55799999999999</v>
      </c>
      <c r="R195" s="652">
        <v>293.71600000000001</v>
      </c>
      <c r="S195" s="650">
        <f>+INDEX(Tabla2[Salarios],MATCH(YEAR(Tabla3[[#This Row],[Fecha]]),Tabla2[año],0))/Tabla3[[#This Row],[TRM año de cálculo $/USD]]</f>
        <v>296.45516858552116</v>
      </c>
      <c r="T195" s="652">
        <f>+Tabla3[[#This Row],[IPC]]/Tabla3[[#This Row],[TRM año de cálculo $/USD]]</f>
        <v>3.3038788326669462E-2</v>
      </c>
      <c r="AF195" s="367">
        <f t="shared" si="2"/>
        <v>39995</v>
      </c>
      <c r="AG195" s="368">
        <v>40005</v>
      </c>
      <c r="AH195" s="369">
        <v>2116.9899999999998</v>
      </c>
    </row>
    <row r="196" spans="8:34">
      <c r="H196" s="649"/>
      <c r="I196" s="650"/>
      <c r="J196" s="653"/>
      <c r="S196" s="650"/>
      <c r="AF196" s="367">
        <f t="shared" ref="AF196:AF259" si="3">+DATE(YEAR(AG196),MONTH(AG196),1)</f>
        <v>39995</v>
      </c>
      <c r="AG196" s="368">
        <v>40006</v>
      </c>
      <c r="AH196" s="369">
        <v>2116.9899999999998</v>
      </c>
    </row>
    <row r="197" spans="8:34">
      <c r="H197" s="649"/>
      <c r="I197" s="650"/>
      <c r="J197" s="653"/>
      <c r="S197" s="650"/>
      <c r="AF197" s="367">
        <f t="shared" si="3"/>
        <v>39995</v>
      </c>
      <c r="AG197" s="368">
        <v>40007</v>
      </c>
      <c r="AH197" s="369">
        <v>2116.9899999999998</v>
      </c>
    </row>
    <row r="198" spans="8:34">
      <c r="H198" s="649"/>
      <c r="I198" s="650"/>
      <c r="J198" s="653"/>
      <c r="S198" s="650"/>
      <c r="AF198" s="367">
        <f t="shared" si="3"/>
        <v>39995</v>
      </c>
      <c r="AG198" s="368">
        <v>40008</v>
      </c>
      <c r="AH198" s="369">
        <v>2085.7399999999998</v>
      </c>
    </row>
    <row r="199" spans="8:34">
      <c r="AF199" s="367">
        <f t="shared" si="3"/>
        <v>39995</v>
      </c>
      <c r="AG199" s="368">
        <v>40009</v>
      </c>
      <c r="AH199" s="369">
        <v>2054.19</v>
      </c>
    </row>
    <row r="200" spans="8:34">
      <c r="AF200" s="367">
        <f t="shared" si="3"/>
        <v>39995</v>
      </c>
      <c r="AG200" s="368">
        <v>40010</v>
      </c>
      <c r="AH200" s="369">
        <v>2018.93</v>
      </c>
    </row>
    <row r="201" spans="8:34">
      <c r="AF201" s="367">
        <f t="shared" si="3"/>
        <v>39995</v>
      </c>
      <c r="AG201" s="368">
        <v>40011</v>
      </c>
      <c r="AH201" s="369">
        <v>2025.71</v>
      </c>
    </row>
    <row r="202" spans="8:34">
      <c r="AF202" s="367">
        <f t="shared" si="3"/>
        <v>39995</v>
      </c>
      <c r="AG202" s="368">
        <v>40012</v>
      </c>
      <c r="AH202" s="369">
        <v>2006.82</v>
      </c>
    </row>
    <row r="203" spans="8:34">
      <c r="AF203" s="367">
        <f t="shared" si="3"/>
        <v>39995</v>
      </c>
      <c r="AG203" s="368">
        <v>40013</v>
      </c>
      <c r="AH203" s="369">
        <v>2006.82</v>
      </c>
    </row>
    <row r="204" spans="8:34">
      <c r="AF204" s="367">
        <f t="shared" si="3"/>
        <v>39995</v>
      </c>
      <c r="AG204" s="368">
        <v>40014</v>
      </c>
      <c r="AH204" s="369">
        <v>2006.82</v>
      </c>
    </row>
    <row r="205" spans="8:34">
      <c r="AF205" s="367">
        <f t="shared" si="3"/>
        <v>39995</v>
      </c>
      <c r="AG205" s="368">
        <v>40015</v>
      </c>
      <c r="AH205" s="369">
        <v>2006.82</v>
      </c>
    </row>
    <row r="206" spans="8:34">
      <c r="AF206" s="367">
        <f t="shared" si="3"/>
        <v>39995</v>
      </c>
      <c r="AG206" s="368">
        <v>40016</v>
      </c>
      <c r="AH206" s="369">
        <v>1986.35</v>
      </c>
    </row>
    <row r="207" spans="8:34">
      <c r="AF207" s="367">
        <f t="shared" si="3"/>
        <v>39995</v>
      </c>
      <c r="AG207" s="368">
        <v>40017</v>
      </c>
      <c r="AH207" s="369">
        <v>1975.05</v>
      </c>
    </row>
    <row r="208" spans="8:34">
      <c r="AF208" s="367">
        <f t="shared" si="3"/>
        <v>39995</v>
      </c>
      <c r="AG208" s="368">
        <v>40018</v>
      </c>
      <c r="AH208" s="369">
        <v>1953.12</v>
      </c>
    </row>
    <row r="209" spans="32:34">
      <c r="AF209" s="367">
        <f t="shared" si="3"/>
        <v>39995</v>
      </c>
      <c r="AG209" s="368">
        <v>40019</v>
      </c>
      <c r="AH209" s="369">
        <v>1970.11</v>
      </c>
    </row>
    <row r="210" spans="32:34">
      <c r="AF210" s="367">
        <f t="shared" si="3"/>
        <v>39995</v>
      </c>
      <c r="AG210" s="368">
        <v>40020</v>
      </c>
      <c r="AH210" s="369">
        <v>1970.11</v>
      </c>
    </row>
    <row r="211" spans="32:34">
      <c r="AF211" s="367">
        <f t="shared" si="3"/>
        <v>39995</v>
      </c>
      <c r="AG211" s="368">
        <v>40021</v>
      </c>
      <c r="AH211" s="369">
        <v>1970.11</v>
      </c>
    </row>
    <row r="212" spans="32:34">
      <c r="AF212" s="367">
        <f t="shared" si="3"/>
        <v>39995</v>
      </c>
      <c r="AG212" s="368">
        <v>40022</v>
      </c>
      <c r="AH212" s="369">
        <v>1982.43</v>
      </c>
    </row>
    <row r="213" spans="32:34">
      <c r="AF213" s="367">
        <f t="shared" si="3"/>
        <v>39995</v>
      </c>
      <c r="AG213" s="368">
        <v>40023</v>
      </c>
      <c r="AH213" s="369">
        <v>2013.82</v>
      </c>
    </row>
    <row r="214" spans="32:34">
      <c r="AF214" s="367">
        <f t="shared" si="3"/>
        <v>39995</v>
      </c>
      <c r="AG214" s="368">
        <v>40024</v>
      </c>
      <c r="AH214" s="369">
        <v>2073.92</v>
      </c>
    </row>
    <row r="215" spans="32:34">
      <c r="AF215" s="367">
        <f t="shared" si="3"/>
        <v>39995</v>
      </c>
      <c r="AG215" s="368">
        <v>40025</v>
      </c>
      <c r="AH215" s="369">
        <v>2043.37</v>
      </c>
    </row>
    <row r="216" spans="32:34">
      <c r="AF216" s="367">
        <f t="shared" si="3"/>
        <v>40026</v>
      </c>
      <c r="AG216" s="368">
        <v>40026</v>
      </c>
      <c r="AH216" s="369">
        <v>2040.95</v>
      </c>
    </row>
    <row r="217" spans="32:34">
      <c r="AF217" s="367">
        <f t="shared" si="3"/>
        <v>40026</v>
      </c>
      <c r="AG217" s="368">
        <v>40027</v>
      </c>
      <c r="AH217" s="369">
        <v>2040.95</v>
      </c>
    </row>
    <row r="218" spans="32:34">
      <c r="AF218" s="367">
        <f t="shared" si="3"/>
        <v>40026</v>
      </c>
      <c r="AG218" s="368">
        <v>40028</v>
      </c>
      <c r="AH218" s="369">
        <v>2040.95</v>
      </c>
    </row>
    <row r="219" spans="32:34">
      <c r="AF219" s="367">
        <f t="shared" si="3"/>
        <v>40026</v>
      </c>
      <c r="AG219" s="368">
        <v>40029</v>
      </c>
      <c r="AH219" s="369">
        <v>2008.96</v>
      </c>
    </row>
    <row r="220" spans="32:34">
      <c r="AF220" s="367">
        <f t="shared" si="3"/>
        <v>40026</v>
      </c>
      <c r="AG220" s="368">
        <v>40030</v>
      </c>
      <c r="AH220" s="369">
        <v>1992.98</v>
      </c>
    </row>
    <row r="221" spans="32:34">
      <c r="AF221" s="367">
        <f t="shared" si="3"/>
        <v>40026</v>
      </c>
      <c r="AG221" s="368">
        <v>40031</v>
      </c>
      <c r="AH221" s="369">
        <v>1987.84</v>
      </c>
    </row>
    <row r="222" spans="32:34">
      <c r="AF222" s="367">
        <f t="shared" si="3"/>
        <v>40026</v>
      </c>
      <c r="AG222" s="368">
        <v>40032</v>
      </c>
      <c r="AH222" s="369">
        <v>1997.01</v>
      </c>
    </row>
    <row r="223" spans="32:34">
      <c r="AF223" s="367">
        <f t="shared" si="3"/>
        <v>40026</v>
      </c>
      <c r="AG223" s="368">
        <v>40033</v>
      </c>
      <c r="AH223" s="369">
        <v>1997.01</v>
      </c>
    </row>
    <row r="224" spans="32:34">
      <c r="AF224" s="367">
        <f t="shared" si="3"/>
        <v>40026</v>
      </c>
      <c r="AG224" s="368">
        <v>40034</v>
      </c>
      <c r="AH224" s="369">
        <v>1997.01</v>
      </c>
    </row>
    <row r="225" spans="32:34">
      <c r="AF225" s="367">
        <f t="shared" si="3"/>
        <v>40026</v>
      </c>
      <c r="AG225" s="368">
        <v>40035</v>
      </c>
      <c r="AH225" s="369">
        <v>1997.01</v>
      </c>
    </row>
    <row r="226" spans="32:34">
      <c r="AF226" s="367">
        <f t="shared" si="3"/>
        <v>40026</v>
      </c>
      <c r="AG226" s="368">
        <v>40036</v>
      </c>
      <c r="AH226" s="369">
        <v>2022.56</v>
      </c>
    </row>
    <row r="227" spans="32:34">
      <c r="AF227" s="367">
        <f t="shared" si="3"/>
        <v>40026</v>
      </c>
      <c r="AG227" s="368">
        <v>40037</v>
      </c>
      <c r="AH227" s="369">
        <v>2050.4499999999998</v>
      </c>
    </row>
    <row r="228" spans="32:34">
      <c r="AF228" s="367">
        <f t="shared" si="3"/>
        <v>40026</v>
      </c>
      <c r="AG228" s="368">
        <v>40038</v>
      </c>
      <c r="AH228" s="369">
        <v>2026.45</v>
      </c>
    </row>
    <row r="229" spans="32:34">
      <c r="AF229" s="367">
        <f t="shared" si="3"/>
        <v>40026</v>
      </c>
      <c r="AG229" s="368">
        <v>40039</v>
      </c>
      <c r="AH229" s="369">
        <v>1999.98</v>
      </c>
    </row>
    <row r="230" spans="32:34">
      <c r="AF230" s="367">
        <f t="shared" si="3"/>
        <v>40026</v>
      </c>
      <c r="AG230" s="368">
        <v>40040</v>
      </c>
      <c r="AH230" s="369">
        <v>2016.09</v>
      </c>
    </row>
    <row r="231" spans="32:34">
      <c r="AF231" s="367">
        <f t="shared" si="3"/>
        <v>40026</v>
      </c>
      <c r="AG231" s="368">
        <v>40041</v>
      </c>
      <c r="AH231" s="369">
        <v>2016.09</v>
      </c>
    </row>
    <row r="232" spans="32:34">
      <c r="AF232" s="367">
        <f t="shared" si="3"/>
        <v>40026</v>
      </c>
      <c r="AG232" s="368">
        <v>40042</v>
      </c>
      <c r="AH232" s="369">
        <v>2016.09</v>
      </c>
    </row>
    <row r="233" spans="32:34">
      <c r="AF233" s="367">
        <f t="shared" si="3"/>
        <v>40026</v>
      </c>
      <c r="AG233" s="368">
        <v>40043</v>
      </c>
      <c r="AH233" s="369">
        <v>2016.09</v>
      </c>
    </row>
    <row r="234" spans="32:34">
      <c r="AF234" s="367">
        <f t="shared" si="3"/>
        <v>40026</v>
      </c>
      <c r="AG234" s="368">
        <v>40044</v>
      </c>
      <c r="AH234" s="369">
        <v>2037.1</v>
      </c>
    </row>
    <row r="235" spans="32:34">
      <c r="AF235" s="367">
        <f t="shared" si="3"/>
        <v>40026</v>
      </c>
      <c r="AG235" s="368">
        <v>40045</v>
      </c>
      <c r="AH235" s="369">
        <v>2041.91</v>
      </c>
    </row>
    <row r="236" spans="32:34">
      <c r="AF236" s="367">
        <f t="shared" si="3"/>
        <v>40026</v>
      </c>
      <c r="AG236" s="368">
        <v>40046</v>
      </c>
      <c r="AH236" s="369">
        <v>2012.67</v>
      </c>
    </row>
    <row r="237" spans="32:34">
      <c r="AF237" s="367">
        <f t="shared" si="3"/>
        <v>40026</v>
      </c>
      <c r="AG237" s="368">
        <v>40047</v>
      </c>
      <c r="AH237" s="369">
        <v>1997.31</v>
      </c>
    </row>
    <row r="238" spans="32:34">
      <c r="AF238" s="367">
        <f t="shared" si="3"/>
        <v>40026</v>
      </c>
      <c r="AG238" s="368">
        <v>40048</v>
      </c>
      <c r="AH238" s="369">
        <v>1997.31</v>
      </c>
    </row>
    <row r="239" spans="32:34">
      <c r="AF239" s="367">
        <f t="shared" si="3"/>
        <v>40026</v>
      </c>
      <c r="AG239" s="368">
        <v>40049</v>
      </c>
      <c r="AH239" s="369">
        <v>1997.31</v>
      </c>
    </row>
    <row r="240" spans="32:34">
      <c r="AF240" s="367">
        <f t="shared" si="3"/>
        <v>40026</v>
      </c>
      <c r="AG240" s="368">
        <v>40050</v>
      </c>
      <c r="AH240" s="369">
        <v>1997.44</v>
      </c>
    </row>
    <row r="241" spans="32:34">
      <c r="AF241" s="367">
        <f t="shared" si="3"/>
        <v>40026</v>
      </c>
      <c r="AG241" s="368">
        <v>40051</v>
      </c>
      <c r="AH241" s="369">
        <v>2007.2</v>
      </c>
    </row>
    <row r="242" spans="32:34">
      <c r="AF242" s="367">
        <f t="shared" si="3"/>
        <v>40026</v>
      </c>
      <c r="AG242" s="368">
        <v>40052</v>
      </c>
      <c r="AH242" s="369">
        <v>2044.79</v>
      </c>
    </row>
    <row r="243" spans="32:34">
      <c r="AF243" s="367">
        <f t="shared" si="3"/>
        <v>40026</v>
      </c>
      <c r="AG243" s="368">
        <v>40053</v>
      </c>
      <c r="AH243" s="369">
        <v>2043.65</v>
      </c>
    </row>
    <row r="244" spans="32:34">
      <c r="AF244" s="367">
        <f t="shared" si="3"/>
        <v>40026</v>
      </c>
      <c r="AG244" s="368">
        <v>40054</v>
      </c>
      <c r="AH244" s="369">
        <v>2035</v>
      </c>
    </row>
    <row r="245" spans="32:34">
      <c r="AF245" s="367">
        <f t="shared" si="3"/>
        <v>40026</v>
      </c>
      <c r="AG245" s="368">
        <v>40055</v>
      </c>
      <c r="AH245" s="369">
        <v>2035</v>
      </c>
    </row>
    <row r="246" spans="32:34">
      <c r="AF246" s="367">
        <f t="shared" si="3"/>
        <v>40026</v>
      </c>
      <c r="AG246" s="368">
        <v>40056</v>
      </c>
      <c r="AH246" s="369">
        <v>2035</v>
      </c>
    </row>
    <row r="247" spans="32:34">
      <c r="AF247" s="367">
        <f t="shared" si="3"/>
        <v>40057</v>
      </c>
      <c r="AG247" s="368">
        <v>40057</v>
      </c>
      <c r="AH247" s="369">
        <v>2057.81</v>
      </c>
    </row>
    <row r="248" spans="32:34">
      <c r="AF248" s="367">
        <f t="shared" si="3"/>
        <v>40057</v>
      </c>
      <c r="AG248" s="368">
        <v>40058</v>
      </c>
      <c r="AH248" s="369">
        <v>2068.96</v>
      </c>
    </row>
    <row r="249" spans="32:34">
      <c r="AF249" s="367">
        <f t="shared" si="3"/>
        <v>40057</v>
      </c>
      <c r="AG249" s="368">
        <v>40059</v>
      </c>
      <c r="AH249" s="369">
        <v>2065.73</v>
      </c>
    </row>
    <row r="250" spans="32:34">
      <c r="AF250" s="367">
        <f t="shared" si="3"/>
        <v>40057</v>
      </c>
      <c r="AG250" s="368">
        <v>40060</v>
      </c>
      <c r="AH250" s="369">
        <v>2029.75</v>
      </c>
    </row>
    <row r="251" spans="32:34">
      <c r="AF251" s="367">
        <f t="shared" si="3"/>
        <v>40057</v>
      </c>
      <c r="AG251" s="368">
        <v>40061</v>
      </c>
      <c r="AH251" s="369">
        <v>2018.72</v>
      </c>
    </row>
    <row r="252" spans="32:34">
      <c r="AF252" s="367">
        <f t="shared" si="3"/>
        <v>40057</v>
      </c>
      <c r="AG252" s="368">
        <v>40062</v>
      </c>
      <c r="AH252" s="369">
        <v>2018.72</v>
      </c>
    </row>
    <row r="253" spans="32:34">
      <c r="AF253" s="367">
        <f t="shared" si="3"/>
        <v>40057</v>
      </c>
      <c r="AG253" s="368">
        <v>40063</v>
      </c>
      <c r="AH253" s="369">
        <v>2018.72</v>
      </c>
    </row>
    <row r="254" spans="32:34">
      <c r="AF254" s="367">
        <f t="shared" si="3"/>
        <v>40057</v>
      </c>
      <c r="AG254" s="368">
        <v>40064</v>
      </c>
      <c r="AH254" s="369">
        <v>2018.72</v>
      </c>
    </row>
    <row r="255" spans="32:34">
      <c r="AF255" s="367">
        <f t="shared" si="3"/>
        <v>40057</v>
      </c>
      <c r="AG255" s="368">
        <v>40065</v>
      </c>
      <c r="AH255" s="369">
        <v>1994.44</v>
      </c>
    </row>
    <row r="256" spans="32:34">
      <c r="AF256" s="367">
        <f t="shared" si="3"/>
        <v>40057</v>
      </c>
      <c r="AG256" s="368">
        <v>40066</v>
      </c>
      <c r="AH256" s="369">
        <v>1998.17</v>
      </c>
    </row>
    <row r="257" spans="32:34">
      <c r="AF257" s="367">
        <f t="shared" si="3"/>
        <v>40057</v>
      </c>
      <c r="AG257" s="368">
        <v>40067</v>
      </c>
      <c r="AH257" s="369">
        <v>2008.95</v>
      </c>
    </row>
    <row r="258" spans="32:34">
      <c r="AF258" s="367">
        <f t="shared" si="3"/>
        <v>40057</v>
      </c>
      <c r="AG258" s="368">
        <v>40068</v>
      </c>
      <c r="AH258" s="369">
        <v>1985.38</v>
      </c>
    </row>
    <row r="259" spans="32:34">
      <c r="AF259" s="367">
        <f t="shared" si="3"/>
        <v>40057</v>
      </c>
      <c r="AG259" s="368">
        <v>40069</v>
      </c>
      <c r="AH259" s="369">
        <v>1985.38</v>
      </c>
    </row>
    <row r="260" spans="32:34">
      <c r="AF260" s="367">
        <f t="shared" ref="AF260:AF323" si="4">+DATE(YEAR(AG260),MONTH(AG260),1)</f>
        <v>40057</v>
      </c>
      <c r="AG260" s="368">
        <v>40070</v>
      </c>
      <c r="AH260" s="369">
        <v>1985.38</v>
      </c>
    </row>
    <row r="261" spans="32:34">
      <c r="AF261" s="367">
        <f t="shared" si="4"/>
        <v>40057</v>
      </c>
      <c r="AG261" s="368">
        <v>40071</v>
      </c>
      <c r="AH261" s="369">
        <v>1998.99</v>
      </c>
    </row>
    <row r="262" spans="32:34">
      <c r="AF262" s="367">
        <f t="shared" si="4"/>
        <v>40057</v>
      </c>
      <c r="AG262" s="368">
        <v>40072</v>
      </c>
      <c r="AH262" s="369">
        <v>1986.86</v>
      </c>
    </row>
    <row r="263" spans="32:34">
      <c r="AF263" s="367">
        <f t="shared" si="4"/>
        <v>40057</v>
      </c>
      <c r="AG263" s="368">
        <v>40073</v>
      </c>
      <c r="AH263" s="369">
        <v>1960.76</v>
      </c>
    </row>
    <row r="264" spans="32:34">
      <c r="AF264" s="367">
        <f t="shared" si="4"/>
        <v>40057</v>
      </c>
      <c r="AG264" s="368">
        <v>40074</v>
      </c>
      <c r="AH264" s="369">
        <v>1962.6</v>
      </c>
    </row>
    <row r="265" spans="32:34">
      <c r="AF265" s="367">
        <f t="shared" si="4"/>
        <v>40057</v>
      </c>
      <c r="AG265" s="368">
        <v>40075</v>
      </c>
      <c r="AH265" s="369">
        <v>1951.38</v>
      </c>
    </row>
    <row r="266" spans="32:34">
      <c r="AF266" s="367">
        <f t="shared" si="4"/>
        <v>40057</v>
      </c>
      <c r="AG266" s="368">
        <v>40076</v>
      </c>
      <c r="AH266" s="369">
        <v>1951.38</v>
      </c>
    </row>
    <row r="267" spans="32:34">
      <c r="AF267" s="367">
        <f t="shared" si="4"/>
        <v>40057</v>
      </c>
      <c r="AG267" s="368">
        <v>40077</v>
      </c>
      <c r="AH267" s="369">
        <v>1951.38</v>
      </c>
    </row>
    <row r="268" spans="32:34">
      <c r="AF268" s="367">
        <f t="shared" si="4"/>
        <v>40057</v>
      </c>
      <c r="AG268" s="368">
        <v>40078</v>
      </c>
      <c r="AH268" s="369">
        <v>1950.77</v>
      </c>
    </row>
    <row r="269" spans="32:34">
      <c r="AF269" s="367">
        <f t="shared" si="4"/>
        <v>40057</v>
      </c>
      <c r="AG269" s="368">
        <v>40079</v>
      </c>
      <c r="AH269" s="369">
        <v>1914.47</v>
      </c>
    </row>
    <row r="270" spans="32:34">
      <c r="AF270" s="367">
        <f t="shared" si="4"/>
        <v>40057</v>
      </c>
      <c r="AG270" s="368">
        <v>40080</v>
      </c>
      <c r="AH270" s="369">
        <v>1911.66</v>
      </c>
    </row>
    <row r="271" spans="32:34">
      <c r="AF271" s="367">
        <f t="shared" si="4"/>
        <v>40057</v>
      </c>
      <c r="AG271" s="368">
        <v>40081</v>
      </c>
      <c r="AH271" s="369">
        <v>1922.5</v>
      </c>
    </row>
    <row r="272" spans="32:34">
      <c r="AF272" s="367">
        <f t="shared" si="4"/>
        <v>40057</v>
      </c>
      <c r="AG272" s="368">
        <v>40082</v>
      </c>
      <c r="AH272" s="369">
        <v>1926.59</v>
      </c>
    </row>
    <row r="273" spans="32:34">
      <c r="AF273" s="367">
        <f t="shared" si="4"/>
        <v>40057</v>
      </c>
      <c r="AG273" s="368">
        <v>40083</v>
      </c>
      <c r="AH273" s="369">
        <v>1926.59</v>
      </c>
    </row>
    <row r="274" spans="32:34">
      <c r="AF274" s="367">
        <f t="shared" si="4"/>
        <v>40057</v>
      </c>
      <c r="AG274" s="368">
        <v>40084</v>
      </c>
      <c r="AH274" s="369">
        <v>1926.59</v>
      </c>
    </row>
    <row r="275" spans="32:34">
      <c r="AF275" s="367">
        <f t="shared" si="4"/>
        <v>40057</v>
      </c>
      <c r="AG275" s="368">
        <v>40085</v>
      </c>
      <c r="AH275" s="369">
        <v>1921.64</v>
      </c>
    </row>
    <row r="276" spans="32:34">
      <c r="AF276" s="367">
        <f t="shared" si="4"/>
        <v>40057</v>
      </c>
      <c r="AG276" s="368">
        <v>40086</v>
      </c>
      <c r="AH276" s="369">
        <v>1922</v>
      </c>
    </row>
    <row r="277" spans="32:34">
      <c r="AF277" s="367">
        <f t="shared" si="4"/>
        <v>40087</v>
      </c>
      <c r="AG277" s="368">
        <v>40087</v>
      </c>
      <c r="AH277" s="369">
        <v>1925.49</v>
      </c>
    </row>
    <row r="278" spans="32:34">
      <c r="AF278" s="367">
        <f t="shared" si="4"/>
        <v>40087</v>
      </c>
      <c r="AG278" s="368">
        <v>40088</v>
      </c>
      <c r="AH278" s="369">
        <v>1918.87</v>
      </c>
    </row>
    <row r="279" spans="32:34">
      <c r="AF279" s="367">
        <f t="shared" si="4"/>
        <v>40087</v>
      </c>
      <c r="AG279" s="368">
        <v>40089</v>
      </c>
      <c r="AH279" s="369">
        <v>1919.75</v>
      </c>
    </row>
    <row r="280" spans="32:34">
      <c r="AF280" s="367">
        <f t="shared" si="4"/>
        <v>40087</v>
      </c>
      <c r="AG280" s="368">
        <v>40090</v>
      </c>
      <c r="AH280" s="369">
        <v>1919.75</v>
      </c>
    </row>
    <row r="281" spans="32:34">
      <c r="AF281" s="367">
        <f t="shared" si="4"/>
        <v>40087</v>
      </c>
      <c r="AG281" s="368">
        <v>40091</v>
      </c>
      <c r="AH281" s="369">
        <v>1919.75</v>
      </c>
    </row>
    <row r="282" spans="32:34">
      <c r="AF282" s="367">
        <f t="shared" si="4"/>
        <v>40087</v>
      </c>
      <c r="AG282" s="368">
        <v>40092</v>
      </c>
      <c r="AH282" s="369">
        <v>1925.57</v>
      </c>
    </row>
    <row r="283" spans="32:34">
      <c r="AF283" s="367">
        <f t="shared" si="4"/>
        <v>40087</v>
      </c>
      <c r="AG283" s="368">
        <v>40093</v>
      </c>
      <c r="AH283" s="369">
        <v>1906.59</v>
      </c>
    </row>
    <row r="284" spans="32:34">
      <c r="AF284" s="367">
        <f t="shared" si="4"/>
        <v>40087</v>
      </c>
      <c r="AG284" s="368">
        <v>40094</v>
      </c>
      <c r="AH284" s="369">
        <v>1897.31</v>
      </c>
    </row>
    <row r="285" spans="32:34">
      <c r="AF285" s="367">
        <f t="shared" si="4"/>
        <v>40087</v>
      </c>
      <c r="AG285" s="368">
        <v>40095</v>
      </c>
      <c r="AH285" s="369">
        <v>1870.96</v>
      </c>
    </row>
    <row r="286" spans="32:34">
      <c r="AF286" s="367">
        <f t="shared" si="4"/>
        <v>40087</v>
      </c>
      <c r="AG286" s="368">
        <v>40096</v>
      </c>
      <c r="AH286" s="369">
        <v>1857.21</v>
      </c>
    </row>
    <row r="287" spans="32:34">
      <c r="AF287" s="367">
        <f t="shared" si="4"/>
        <v>40087</v>
      </c>
      <c r="AG287" s="368">
        <v>40097</v>
      </c>
      <c r="AH287" s="369">
        <v>1857.21</v>
      </c>
    </row>
    <row r="288" spans="32:34">
      <c r="AF288" s="367">
        <f t="shared" si="4"/>
        <v>40087</v>
      </c>
      <c r="AG288" s="368">
        <v>40098</v>
      </c>
      <c r="AH288" s="369">
        <v>1857.21</v>
      </c>
    </row>
    <row r="289" spans="32:34">
      <c r="AF289" s="367">
        <f t="shared" si="4"/>
        <v>40087</v>
      </c>
      <c r="AG289" s="368">
        <v>40099</v>
      </c>
      <c r="AH289" s="369">
        <v>1857.21</v>
      </c>
    </row>
    <row r="290" spans="32:34">
      <c r="AF290" s="367">
        <f t="shared" si="4"/>
        <v>40087</v>
      </c>
      <c r="AG290" s="368">
        <v>40100</v>
      </c>
      <c r="AH290" s="369">
        <v>1825.68</v>
      </c>
    </row>
    <row r="291" spans="32:34">
      <c r="AF291" s="367">
        <f t="shared" si="4"/>
        <v>40087</v>
      </c>
      <c r="AG291" s="368">
        <v>40101</v>
      </c>
      <c r="AH291" s="369">
        <v>1830.38</v>
      </c>
    </row>
    <row r="292" spans="32:34">
      <c r="AF292" s="367">
        <f t="shared" si="4"/>
        <v>40087</v>
      </c>
      <c r="AG292" s="368">
        <v>40102</v>
      </c>
      <c r="AH292" s="369">
        <v>1838.26</v>
      </c>
    </row>
    <row r="293" spans="32:34">
      <c r="AF293" s="367">
        <f t="shared" si="4"/>
        <v>40087</v>
      </c>
      <c r="AG293" s="368">
        <v>40103</v>
      </c>
      <c r="AH293" s="369">
        <v>1843.81</v>
      </c>
    </row>
    <row r="294" spans="32:34">
      <c r="AF294" s="367">
        <f t="shared" si="4"/>
        <v>40087</v>
      </c>
      <c r="AG294" s="368">
        <v>40104</v>
      </c>
      <c r="AH294" s="369">
        <v>1843.81</v>
      </c>
    </row>
    <row r="295" spans="32:34">
      <c r="AF295" s="367">
        <f t="shared" si="4"/>
        <v>40087</v>
      </c>
      <c r="AG295" s="368">
        <v>40105</v>
      </c>
      <c r="AH295" s="369">
        <v>1843.81</v>
      </c>
    </row>
    <row r="296" spans="32:34">
      <c r="AF296" s="367">
        <f t="shared" si="4"/>
        <v>40087</v>
      </c>
      <c r="AG296" s="368">
        <v>40106</v>
      </c>
      <c r="AH296" s="369">
        <v>1858.4</v>
      </c>
    </row>
    <row r="297" spans="32:34">
      <c r="AF297" s="367">
        <f t="shared" si="4"/>
        <v>40087</v>
      </c>
      <c r="AG297" s="368">
        <v>40107</v>
      </c>
      <c r="AH297" s="369">
        <v>1913.98</v>
      </c>
    </row>
    <row r="298" spans="32:34">
      <c r="AF298" s="367">
        <f t="shared" si="4"/>
        <v>40087</v>
      </c>
      <c r="AG298" s="368">
        <v>40108</v>
      </c>
      <c r="AH298" s="369">
        <v>1910.04</v>
      </c>
    </row>
    <row r="299" spans="32:34">
      <c r="AF299" s="367">
        <f t="shared" si="4"/>
        <v>40087</v>
      </c>
      <c r="AG299" s="368">
        <v>40109</v>
      </c>
      <c r="AH299" s="369">
        <v>1914.89</v>
      </c>
    </row>
    <row r="300" spans="32:34">
      <c r="AF300" s="367">
        <f t="shared" si="4"/>
        <v>40087</v>
      </c>
      <c r="AG300" s="368">
        <v>40110</v>
      </c>
      <c r="AH300" s="369">
        <v>1924.35</v>
      </c>
    </row>
    <row r="301" spans="32:34">
      <c r="AF301" s="367">
        <f t="shared" si="4"/>
        <v>40087</v>
      </c>
      <c r="AG301" s="368">
        <v>40111</v>
      </c>
      <c r="AH301" s="369">
        <v>1924.35</v>
      </c>
    </row>
    <row r="302" spans="32:34">
      <c r="AF302" s="367">
        <f t="shared" si="4"/>
        <v>40087</v>
      </c>
      <c r="AG302" s="368">
        <v>40112</v>
      </c>
      <c r="AH302" s="369">
        <v>1924.35</v>
      </c>
    </row>
    <row r="303" spans="32:34">
      <c r="AF303" s="367">
        <f t="shared" si="4"/>
        <v>40087</v>
      </c>
      <c r="AG303" s="368">
        <v>40113</v>
      </c>
      <c r="AH303" s="369">
        <v>1932.81</v>
      </c>
    </row>
    <row r="304" spans="32:34">
      <c r="AF304" s="367">
        <f t="shared" si="4"/>
        <v>40087</v>
      </c>
      <c r="AG304" s="368">
        <v>40114</v>
      </c>
      <c r="AH304" s="369">
        <v>1977.26</v>
      </c>
    </row>
    <row r="305" spans="32:34">
      <c r="AF305" s="367">
        <f t="shared" si="4"/>
        <v>40087</v>
      </c>
      <c r="AG305" s="368">
        <v>40115</v>
      </c>
      <c r="AH305" s="369">
        <v>2006.18</v>
      </c>
    </row>
    <row r="306" spans="32:34">
      <c r="AF306" s="367">
        <f t="shared" si="4"/>
        <v>40087</v>
      </c>
      <c r="AG306" s="368">
        <v>40116</v>
      </c>
      <c r="AH306" s="369">
        <v>2004.37</v>
      </c>
    </row>
    <row r="307" spans="32:34">
      <c r="AF307" s="367">
        <f t="shared" si="4"/>
        <v>40087</v>
      </c>
      <c r="AG307" s="368">
        <v>40117</v>
      </c>
      <c r="AH307" s="369">
        <v>1993.8</v>
      </c>
    </row>
    <row r="308" spans="32:34">
      <c r="AF308" s="367">
        <f t="shared" si="4"/>
        <v>40118</v>
      </c>
      <c r="AG308" s="368">
        <v>40118</v>
      </c>
      <c r="AH308" s="369">
        <v>1993.8</v>
      </c>
    </row>
    <row r="309" spans="32:34">
      <c r="AF309" s="367">
        <f t="shared" si="4"/>
        <v>40118</v>
      </c>
      <c r="AG309" s="368">
        <v>40119</v>
      </c>
      <c r="AH309" s="369">
        <v>1993.8</v>
      </c>
    </row>
    <row r="310" spans="32:34">
      <c r="AF310" s="367">
        <f t="shared" si="4"/>
        <v>40118</v>
      </c>
      <c r="AG310" s="368">
        <v>40120</v>
      </c>
      <c r="AH310" s="369">
        <v>1993.8</v>
      </c>
    </row>
    <row r="311" spans="32:34">
      <c r="AF311" s="367">
        <f t="shared" si="4"/>
        <v>40118</v>
      </c>
      <c r="AG311" s="368">
        <v>40121</v>
      </c>
      <c r="AH311" s="369">
        <v>2008.72</v>
      </c>
    </row>
    <row r="312" spans="32:34">
      <c r="AF312" s="367">
        <f t="shared" si="4"/>
        <v>40118</v>
      </c>
      <c r="AG312" s="368">
        <v>40122</v>
      </c>
      <c r="AH312" s="369">
        <v>1963.7</v>
      </c>
    </row>
    <row r="313" spans="32:34">
      <c r="AF313" s="367">
        <f t="shared" si="4"/>
        <v>40118</v>
      </c>
      <c r="AG313" s="368">
        <v>40123</v>
      </c>
      <c r="AH313" s="369">
        <v>1958.24</v>
      </c>
    </row>
    <row r="314" spans="32:34">
      <c r="AF314" s="367">
        <f t="shared" si="4"/>
        <v>40118</v>
      </c>
      <c r="AG314" s="368">
        <v>40124</v>
      </c>
      <c r="AH314" s="369">
        <v>1981.61</v>
      </c>
    </row>
    <row r="315" spans="32:34">
      <c r="AF315" s="367">
        <f t="shared" si="4"/>
        <v>40118</v>
      </c>
      <c r="AG315" s="368">
        <v>40125</v>
      </c>
      <c r="AH315" s="369">
        <v>1981.61</v>
      </c>
    </row>
    <row r="316" spans="32:34">
      <c r="AF316" s="367">
        <f t="shared" si="4"/>
        <v>40118</v>
      </c>
      <c r="AG316" s="368">
        <v>40126</v>
      </c>
      <c r="AH316" s="369">
        <v>1981.61</v>
      </c>
    </row>
    <row r="317" spans="32:34">
      <c r="AF317" s="367">
        <f t="shared" si="4"/>
        <v>40118</v>
      </c>
      <c r="AG317" s="368">
        <v>40127</v>
      </c>
      <c r="AH317" s="369">
        <v>1968.45</v>
      </c>
    </row>
    <row r="318" spans="32:34">
      <c r="AF318" s="367">
        <f t="shared" si="4"/>
        <v>40118</v>
      </c>
      <c r="AG318" s="368">
        <v>40128</v>
      </c>
      <c r="AH318" s="369">
        <v>1969.52</v>
      </c>
    </row>
    <row r="319" spans="32:34">
      <c r="AF319" s="367">
        <f t="shared" si="4"/>
        <v>40118</v>
      </c>
      <c r="AG319" s="368">
        <v>40129</v>
      </c>
      <c r="AH319" s="369">
        <v>1969.52</v>
      </c>
    </row>
    <row r="320" spans="32:34">
      <c r="AF320" s="367">
        <f t="shared" si="4"/>
        <v>40118</v>
      </c>
      <c r="AG320" s="368">
        <v>40130</v>
      </c>
      <c r="AH320" s="369">
        <v>1976.89</v>
      </c>
    </row>
    <row r="321" spans="32:34">
      <c r="AF321" s="367">
        <f t="shared" si="4"/>
        <v>40118</v>
      </c>
      <c r="AG321" s="368">
        <v>40131</v>
      </c>
      <c r="AH321" s="369">
        <v>1971.27</v>
      </c>
    </row>
    <row r="322" spans="32:34">
      <c r="AF322" s="367">
        <f t="shared" si="4"/>
        <v>40118</v>
      </c>
      <c r="AG322" s="368">
        <v>40132</v>
      </c>
      <c r="AH322" s="369">
        <v>1971.27</v>
      </c>
    </row>
    <row r="323" spans="32:34">
      <c r="AF323" s="367">
        <f t="shared" si="4"/>
        <v>40118</v>
      </c>
      <c r="AG323" s="368">
        <v>40133</v>
      </c>
      <c r="AH323" s="369">
        <v>1971.27</v>
      </c>
    </row>
    <row r="324" spans="32:34">
      <c r="AF324" s="367">
        <f t="shared" ref="AF324:AF387" si="5">+DATE(YEAR(AG324),MONTH(AG324),1)</f>
        <v>40118</v>
      </c>
      <c r="AG324" s="368">
        <v>40134</v>
      </c>
      <c r="AH324" s="369">
        <v>1971.27</v>
      </c>
    </row>
    <row r="325" spans="32:34">
      <c r="AF325" s="367">
        <f t="shared" si="5"/>
        <v>40118</v>
      </c>
      <c r="AG325" s="368">
        <v>40135</v>
      </c>
      <c r="AH325" s="369">
        <v>1966.22</v>
      </c>
    </row>
    <row r="326" spans="32:34">
      <c r="AF326" s="367">
        <f t="shared" si="5"/>
        <v>40118</v>
      </c>
      <c r="AG326" s="368">
        <v>40136</v>
      </c>
      <c r="AH326" s="369">
        <v>1953.45</v>
      </c>
    </row>
    <row r="327" spans="32:34">
      <c r="AF327" s="367">
        <f t="shared" si="5"/>
        <v>40118</v>
      </c>
      <c r="AG327" s="368">
        <v>40137</v>
      </c>
      <c r="AH327" s="369">
        <v>1962.33</v>
      </c>
    </row>
    <row r="328" spans="32:34">
      <c r="AF328" s="367">
        <f t="shared" si="5"/>
        <v>40118</v>
      </c>
      <c r="AG328" s="368">
        <v>40138</v>
      </c>
      <c r="AH328" s="369">
        <v>1974.47</v>
      </c>
    </row>
    <row r="329" spans="32:34">
      <c r="AF329" s="367">
        <f t="shared" si="5"/>
        <v>40118</v>
      </c>
      <c r="AG329" s="368">
        <v>40139</v>
      </c>
      <c r="AH329" s="369">
        <v>1974.47</v>
      </c>
    </row>
    <row r="330" spans="32:34">
      <c r="AF330" s="367">
        <f t="shared" si="5"/>
        <v>40118</v>
      </c>
      <c r="AG330" s="368">
        <v>40140</v>
      </c>
      <c r="AH330" s="369">
        <v>1974.47</v>
      </c>
    </row>
    <row r="331" spans="32:34">
      <c r="AF331" s="367">
        <f t="shared" si="5"/>
        <v>40118</v>
      </c>
      <c r="AG331" s="368">
        <v>40141</v>
      </c>
      <c r="AH331" s="369">
        <v>1964.92</v>
      </c>
    </row>
    <row r="332" spans="32:34">
      <c r="AF332" s="367">
        <f t="shared" si="5"/>
        <v>40118</v>
      </c>
      <c r="AG332" s="368">
        <v>40142</v>
      </c>
      <c r="AH332" s="369">
        <v>1969.01</v>
      </c>
    </row>
    <row r="333" spans="32:34">
      <c r="AF333" s="367">
        <f t="shared" si="5"/>
        <v>40118</v>
      </c>
      <c r="AG333" s="368">
        <v>40143</v>
      </c>
      <c r="AH333" s="369">
        <v>1974.14</v>
      </c>
    </row>
    <row r="334" spans="32:34">
      <c r="AF334" s="367">
        <f t="shared" si="5"/>
        <v>40118</v>
      </c>
      <c r="AG334" s="368">
        <v>40144</v>
      </c>
      <c r="AH334" s="369">
        <v>1974.14</v>
      </c>
    </row>
    <row r="335" spans="32:34">
      <c r="AF335" s="367">
        <f t="shared" si="5"/>
        <v>40118</v>
      </c>
      <c r="AG335" s="368">
        <v>40145</v>
      </c>
      <c r="AH335" s="369">
        <v>1997.47</v>
      </c>
    </row>
    <row r="336" spans="32:34">
      <c r="AF336" s="367">
        <f t="shared" si="5"/>
        <v>40118</v>
      </c>
      <c r="AG336" s="368">
        <v>40146</v>
      </c>
      <c r="AH336" s="369">
        <v>1997.47</v>
      </c>
    </row>
    <row r="337" spans="32:34">
      <c r="AF337" s="367">
        <f t="shared" si="5"/>
        <v>40118</v>
      </c>
      <c r="AG337" s="368">
        <v>40147</v>
      </c>
      <c r="AH337" s="369">
        <v>1997.47</v>
      </c>
    </row>
    <row r="338" spans="32:34">
      <c r="AF338" s="367">
        <f t="shared" si="5"/>
        <v>40148</v>
      </c>
      <c r="AG338" s="368">
        <v>40148</v>
      </c>
      <c r="AH338" s="369">
        <v>1998.45</v>
      </c>
    </row>
    <row r="339" spans="32:34">
      <c r="AF339" s="367">
        <f t="shared" si="5"/>
        <v>40148</v>
      </c>
      <c r="AG339" s="368">
        <v>40149</v>
      </c>
      <c r="AH339" s="369">
        <v>1990.29</v>
      </c>
    </row>
    <row r="340" spans="32:34">
      <c r="AF340" s="367">
        <f t="shared" si="5"/>
        <v>40148</v>
      </c>
      <c r="AG340" s="368">
        <v>40150</v>
      </c>
      <c r="AH340" s="369">
        <v>1990.8</v>
      </c>
    </row>
    <row r="341" spans="32:34">
      <c r="AF341" s="367">
        <f t="shared" si="5"/>
        <v>40148</v>
      </c>
      <c r="AG341" s="368">
        <v>40151</v>
      </c>
      <c r="AH341" s="369">
        <v>1989.94</v>
      </c>
    </row>
    <row r="342" spans="32:34">
      <c r="AF342" s="367">
        <f t="shared" si="5"/>
        <v>40148</v>
      </c>
      <c r="AG342" s="368">
        <v>40152</v>
      </c>
      <c r="AH342" s="369">
        <v>2003.94</v>
      </c>
    </row>
    <row r="343" spans="32:34">
      <c r="AF343" s="367">
        <f t="shared" si="5"/>
        <v>40148</v>
      </c>
      <c r="AG343" s="368">
        <v>40153</v>
      </c>
      <c r="AH343" s="369">
        <v>2003.94</v>
      </c>
    </row>
    <row r="344" spans="32:34">
      <c r="AF344" s="367">
        <f t="shared" si="5"/>
        <v>40148</v>
      </c>
      <c r="AG344" s="368">
        <v>40154</v>
      </c>
      <c r="AH344" s="369">
        <v>2003.94</v>
      </c>
    </row>
    <row r="345" spans="32:34">
      <c r="AF345" s="367">
        <f t="shared" si="5"/>
        <v>40148</v>
      </c>
      <c r="AG345" s="368">
        <v>40155</v>
      </c>
      <c r="AH345" s="369">
        <v>2009.45</v>
      </c>
    </row>
    <row r="346" spans="32:34">
      <c r="AF346" s="367">
        <f t="shared" si="5"/>
        <v>40148</v>
      </c>
      <c r="AG346" s="368">
        <v>40156</v>
      </c>
      <c r="AH346" s="369">
        <v>2009.45</v>
      </c>
    </row>
    <row r="347" spans="32:34">
      <c r="AF347" s="367">
        <f t="shared" si="5"/>
        <v>40148</v>
      </c>
      <c r="AG347" s="368">
        <v>40157</v>
      </c>
      <c r="AH347" s="369">
        <v>2016.73</v>
      </c>
    </row>
    <row r="348" spans="32:34">
      <c r="AF348" s="367">
        <f t="shared" si="5"/>
        <v>40148</v>
      </c>
      <c r="AG348" s="368">
        <v>40158</v>
      </c>
      <c r="AH348" s="369">
        <v>2016.17</v>
      </c>
    </row>
    <row r="349" spans="32:34">
      <c r="AF349" s="367">
        <f t="shared" si="5"/>
        <v>40148</v>
      </c>
      <c r="AG349" s="368">
        <v>40159</v>
      </c>
      <c r="AH349" s="369">
        <v>2000.54</v>
      </c>
    </row>
    <row r="350" spans="32:34">
      <c r="AF350" s="367">
        <f t="shared" si="5"/>
        <v>40148</v>
      </c>
      <c r="AG350" s="368">
        <v>40160</v>
      </c>
      <c r="AH350" s="369">
        <v>2000.54</v>
      </c>
    </row>
    <row r="351" spans="32:34">
      <c r="AF351" s="367">
        <f t="shared" si="5"/>
        <v>40148</v>
      </c>
      <c r="AG351" s="368">
        <v>40161</v>
      </c>
      <c r="AH351" s="369">
        <v>2000.54</v>
      </c>
    </row>
    <row r="352" spans="32:34">
      <c r="AF352" s="367">
        <f t="shared" si="5"/>
        <v>40148</v>
      </c>
      <c r="AG352" s="368">
        <v>40162</v>
      </c>
      <c r="AH352" s="369">
        <v>1992.1</v>
      </c>
    </row>
    <row r="353" spans="32:34">
      <c r="AF353" s="367">
        <f t="shared" si="5"/>
        <v>40148</v>
      </c>
      <c r="AG353" s="368">
        <v>40163</v>
      </c>
      <c r="AH353" s="369">
        <v>2001.86</v>
      </c>
    </row>
    <row r="354" spans="32:34">
      <c r="AF354" s="367">
        <f t="shared" si="5"/>
        <v>40148</v>
      </c>
      <c r="AG354" s="368">
        <v>40164</v>
      </c>
      <c r="AH354" s="369">
        <v>2005.09</v>
      </c>
    </row>
    <row r="355" spans="32:34">
      <c r="AF355" s="367">
        <f t="shared" si="5"/>
        <v>40148</v>
      </c>
      <c r="AG355" s="368">
        <v>40165</v>
      </c>
      <c r="AH355" s="369">
        <v>2015.74</v>
      </c>
    </row>
    <row r="356" spans="32:34">
      <c r="AF356" s="367">
        <f t="shared" si="5"/>
        <v>40148</v>
      </c>
      <c r="AG356" s="368">
        <v>40166</v>
      </c>
      <c r="AH356" s="369">
        <v>2025.85</v>
      </c>
    </row>
    <row r="357" spans="32:34">
      <c r="AF357" s="367">
        <f t="shared" si="5"/>
        <v>40148</v>
      </c>
      <c r="AG357" s="368">
        <v>40167</v>
      </c>
      <c r="AH357" s="369">
        <v>2025.85</v>
      </c>
    </row>
    <row r="358" spans="32:34">
      <c r="AF358" s="367">
        <f t="shared" si="5"/>
        <v>40148</v>
      </c>
      <c r="AG358" s="368">
        <v>40168</v>
      </c>
      <c r="AH358" s="369">
        <v>2025.85</v>
      </c>
    </row>
    <row r="359" spans="32:34">
      <c r="AF359" s="367">
        <f t="shared" si="5"/>
        <v>40148</v>
      </c>
      <c r="AG359" s="368">
        <v>40169</v>
      </c>
      <c r="AH359" s="369">
        <v>2030.17</v>
      </c>
    </row>
    <row r="360" spans="32:34">
      <c r="AF360" s="367">
        <f t="shared" si="5"/>
        <v>40148</v>
      </c>
      <c r="AG360" s="368">
        <v>40170</v>
      </c>
      <c r="AH360" s="369">
        <v>2054.1</v>
      </c>
    </row>
    <row r="361" spans="32:34">
      <c r="AF361" s="367">
        <f t="shared" si="5"/>
        <v>40148</v>
      </c>
      <c r="AG361" s="368">
        <v>40171</v>
      </c>
      <c r="AH361" s="369">
        <v>2045.07</v>
      </c>
    </row>
    <row r="362" spans="32:34">
      <c r="AF362" s="367">
        <f t="shared" si="5"/>
        <v>40148</v>
      </c>
      <c r="AG362" s="368">
        <v>40172</v>
      </c>
      <c r="AH362" s="369">
        <v>2043.41</v>
      </c>
    </row>
    <row r="363" spans="32:34">
      <c r="AF363" s="367">
        <f t="shared" si="5"/>
        <v>40148</v>
      </c>
      <c r="AG363" s="368">
        <v>40173</v>
      </c>
      <c r="AH363" s="369">
        <v>2043.41</v>
      </c>
    </row>
    <row r="364" spans="32:34">
      <c r="AF364" s="367">
        <f t="shared" si="5"/>
        <v>40148</v>
      </c>
      <c r="AG364" s="368">
        <v>40174</v>
      </c>
      <c r="AH364" s="369">
        <v>2043.41</v>
      </c>
    </row>
    <row r="365" spans="32:34">
      <c r="AF365" s="367">
        <f t="shared" si="5"/>
        <v>40148</v>
      </c>
      <c r="AG365" s="368">
        <v>40175</v>
      </c>
      <c r="AH365" s="369">
        <v>2043.41</v>
      </c>
    </row>
    <row r="366" spans="32:34">
      <c r="AF366" s="367">
        <f t="shared" si="5"/>
        <v>40148</v>
      </c>
      <c r="AG366" s="368">
        <v>40176</v>
      </c>
      <c r="AH366" s="369">
        <v>2037.92</v>
      </c>
    </row>
    <row r="367" spans="32:34">
      <c r="AF367" s="367">
        <f t="shared" si="5"/>
        <v>40148</v>
      </c>
      <c r="AG367" s="368">
        <v>40177</v>
      </c>
      <c r="AH367" s="369">
        <v>2046.2</v>
      </c>
    </row>
    <row r="368" spans="32:34">
      <c r="AF368" s="367">
        <f t="shared" si="5"/>
        <v>40148</v>
      </c>
      <c r="AG368" s="368">
        <v>40178</v>
      </c>
      <c r="AH368" s="369">
        <v>2044.23</v>
      </c>
    </row>
    <row r="369" spans="32:34">
      <c r="AF369" s="367">
        <f t="shared" si="5"/>
        <v>40179</v>
      </c>
      <c r="AG369" s="368">
        <v>40179</v>
      </c>
      <c r="AH369" s="369">
        <v>2044.23</v>
      </c>
    </row>
    <row r="370" spans="32:34">
      <c r="AF370" s="367">
        <f t="shared" si="5"/>
        <v>40179</v>
      </c>
      <c r="AG370" s="368">
        <v>40180</v>
      </c>
      <c r="AH370" s="369">
        <v>2044.23</v>
      </c>
    </row>
    <row r="371" spans="32:34">
      <c r="AF371" s="367">
        <f t="shared" si="5"/>
        <v>40179</v>
      </c>
      <c r="AG371" s="368">
        <v>40181</v>
      </c>
      <c r="AH371" s="369">
        <v>2044.23</v>
      </c>
    </row>
    <row r="372" spans="32:34">
      <c r="AF372" s="367">
        <f t="shared" si="5"/>
        <v>40179</v>
      </c>
      <c r="AG372" s="368">
        <v>40182</v>
      </c>
      <c r="AH372" s="369">
        <v>2044.23</v>
      </c>
    </row>
    <row r="373" spans="32:34">
      <c r="AF373" s="367">
        <f t="shared" si="5"/>
        <v>40179</v>
      </c>
      <c r="AG373" s="368">
        <v>40183</v>
      </c>
      <c r="AH373" s="369">
        <v>2021.21</v>
      </c>
    </row>
    <row r="374" spans="32:34">
      <c r="AF374" s="367">
        <f t="shared" si="5"/>
        <v>40179</v>
      </c>
      <c r="AG374" s="368">
        <v>40184</v>
      </c>
      <c r="AH374" s="369">
        <v>1992.78</v>
      </c>
    </row>
    <row r="375" spans="32:34">
      <c r="AF375" s="367">
        <f t="shared" si="5"/>
        <v>40179</v>
      </c>
      <c r="AG375" s="368">
        <v>40185</v>
      </c>
      <c r="AH375" s="369">
        <v>1971.32</v>
      </c>
    </row>
    <row r="376" spans="32:34">
      <c r="AF376" s="367">
        <f t="shared" si="5"/>
        <v>40179</v>
      </c>
      <c r="AG376" s="368">
        <v>40186</v>
      </c>
      <c r="AH376" s="369">
        <v>1969.08</v>
      </c>
    </row>
    <row r="377" spans="32:34">
      <c r="AF377" s="367">
        <f t="shared" si="5"/>
        <v>40179</v>
      </c>
      <c r="AG377" s="368">
        <v>40187</v>
      </c>
      <c r="AH377" s="369">
        <v>1968.24</v>
      </c>
    </row>
    <row r="378" spans="32:34">
      <c r="AF378" s="367">
        <f t="shared" si="5"/>
        <v>40179</v>
      </c>
      <c r="AG378" s="368">
        <v>40188</v>
      </c>
      <c r="AH378" s="369">
        <v>1968.24</v>
      </c>
    </row>
    <row r="379" spans="32:34">
      <c r="AF379" s="367">
        <f t="shared" si="5"/>
        <v>40179</v>
      </c>
      <c r="AG379" s="368">
        <v>40189</v>
      </c>
      <c r="AH379" s="369">
        <v>1968.24</v>
      </c>
    </row>
    <row r="380" spans="32:34">
      <c r="AF380" s="367">
        <f t="shared" si="5"/>
        <v>40179</v>
      </c>
      <c r="AG380" s="368">
        <v>40190</v>
      </c>
      <c r="AH380" s="369">
        <v>1968.24</v>
      </c>
    </row>
    <row r="381" spans="32:34">
      <c r="AF381" s="367">
        <f t="shared" si="5"/>
        <v>40179</v>
      </c>
      <c r="AG381" s="368">
        <v>40191</v>
      </c>
      <c r="AH381" s="369">
        <v>1959.43</v>
      </c>
    </row>
    <row r="382" spans="32:34">
      <c r="AF382" s="367">
        <f t="shared" si="5"/>
        <v>40179</v>
      </c>
      <c r="AG382" s="368">
        <v>40192</v>
      </c>
      <c r="AH382" s="369">
        <v>1965.81</v>
      </c>
    </row>
    <row r="383" spans="32:34">
      <c r="AF383" s="367">
        <f t="shared" si="5"/>
        <v>40179</v>
      </c>
      <c r="AG383" s="368">
        <v>40193</v>
      </c>
      <c r="AH383" s="369">
        <v>1974.13</v>
      </c>
    </row>
    <row r="384" spans="32:34">
      <c r="AF384" s="367">
        <f t="shared" si="5"/>
        <v>40179</v>
      </c>
      <c r="AG384" s="368">
        <v>40194</v>
      </c>
      <c r="AH384" s="369">
        <v>1967.4</v>
      </c>
    </row>
    <row r="385" spans="32:34">
      <c r="AF385" s="367">
        <f t="shared" si="5"/>
        <v>40179</v>
      </c>
      <c r="AG385" s="368">
        <v>40195</v>
      </c>
      <c r="AH385" s="369">
        <v>1967.4</v>
      </c>
    </row>
    <row r="386" spans="32:34">
      <c r="AF386" s="367">
        <f t="shared" si="5"/>
        <v>40179</v>
      </c>
      <c r="AG386" s="368">
        <v>40196</v>
      </c>
      <c r="AH386" s="369">
        <v>1967.4</v>
      </c>
    </row>
    <row r="387" spans="32:34">
      <c r="AF387" s="367">
        <f t="shared" si="5"/>
        <v>40179</v>
      </c>
      <c r="AG387" s="368">
        <v>40197</v>
      </c>
      <c r="AH387" s="369">
        <v>1967.4</v>
      </c>
    </row>
    <row r="388" spans="32:34">
      <c r="AF388" s="367">
        <f t="shared" ref="AF388:AF451" si="6">+DATE(YEAR(AG388),MONTH(AG388),1)</f>
        <v>40179</v>
      </c>
      <c r="AG388" s="368">
        <v>40198</v>
      </c>
      <c r="AH388" s="369">
        <v>1957.82</v>
      </c>
    </row>
    <row r="389" spans="32:34">
      <c r="AF389" s="367">
        <f t="shared" si="6"/>
        <v>40179</v>
      </c>
      <c r="AG389" s="368">
        <v>40199</v>
      </c>
      <c r="AH389" s="369">
        <v>1964.18</v>
      </c>
    </row>
    <row r="390" spans="32:34">
      <c r="AF390" s="367">
        <f t="shared" si="6"/>
        <v>40179</v>
      </c>
      <c r="AG390" s="368">
        <v>40200</v>
      </c>
      <c r="AH390" s="369">
        <v>1967.08</v>
      </c>
    </row>
    <row r="391" spans="32:34">
      <c r="AF391" s="367">
        <f t="shared" si="6"/>
        <v>40179</v>
      </c>
      <c r="AG391" s="368">
        <v>40201</v>
      </c>
      <c r="AH391" s="369">
        <v>1981.96</v>
      </c>
    </row>
    <row r="392" spans="32:34">
      <c r="AF392" s="367">
        <f t="shared" si="6"/>
        <v>40179</v>
      </c>
      <c r="AG392" s="368">
        <v>40202</v>
      </c>
      <c r="AH392" s="369">
        <v>1981.96</v>
      </c>
    </row>
    <row r="393" spans="32:34">
      <c r="AF393" s="367">
        <f t="shared" si="6"/>
        <v>40179</v>
      </c>
      <c r="AG393" s="368">
        <v>40203</v>
      </c>
      <c r="AH393" s="369">
        <v>1981.96</v>
      </c>
    </row>
    <row r="394" spans="32:34">
      <c r="AF394" s="367">
        <f t="shared" si="6"/>
        <v>40179</v>
      </c>
      <c r="AG394" s="368">
        <v>40204</v>
      </c>
      <c r="AH394" s="369">
        <v>1961.97</v>
      </c>
    </row>
    <row r="395" spans="32:34">
      <c r="AF395" s="367">
        <f t="shared" si="6"/>
        <v>40179</v>
      </c>
      <c r="AG395" s="368">
        <v>40205</v>
      </c>
      <c r="AH395" s="369">
        <v>1972.22</v>
      </c>
    </row>
    <row r="396" spans="32:34">
      <c r="AF396" s="367">
        <f t="shared" si="6"/>
        <v>40179</v>
      </c>
      <c r="AG396" s="368">
        <v>40206</v>
      </c>
      <c r="AH396" s="369">
        <v>1988.05</v>
      </c>
    </row>
    <row r="397" spans="32:34">
      <c r="AF397" s="367">
        <f t="shared" si="6"/>
        <v>40179</v>
      </c>
      <c r="AG397" s="368">
        <v>40207</v>
      </c>
      <c r="AH397" s="369">
        <v>1991.21</v>
      </c>
    </row>
    <row r="398" spans="32:34">
      <c r="AF398" s="367">
        <f t="shared" si="6"/>
        <v>40179</v>
      </c>
      <c r="AG398" s="368">
        <v>40208</v>
      </c>
      <c r="AH398" s="369">
        <v>1982.29</v>
      </c>
    </row>
    <row r="399" spans="32:34">
      <c r="AF399" s="367">
        <f t="shared" si="6"/>
        <v>40179</v>
      </c>
      <c r="AG399" s="368">
        <v>40209</v>
      </c>
      <c r="AH399" s="369">
        <v>1982.29</v>
      </c>
    </row>
    <row r="400" spans="32:34">
      <c r="AF400" s="367">
        <f t="shared" si="6"/>
        <v>40210</v>
      </c>
      <c r="AG400" s="368">
        <v>40210</v>
      </c>
      <c r="AH400" s="369">
        <v>1982.29</v>
      </c>
    </row>
    <row r="401" spans="32:34">
      <c r="AF401" s="367">
        <f t="shared" si="6"/>
        <v>40210</v>
      </c>
      <c r="AG401" s="368">
        <v>40211</v>
      </c>
      <c r="AH401" s="369">
        <v>1972.6</v>
      </c>
    </row>
    <row r="402" spans="32:34">
      <c r="AF402" s="367">
        <f t="shared" si="6"/>
        <v>40210</v>
      </c>
      <c r="AG402" s="368">
        <v>40212</v>
      </c>
      <c r="AH402" s="369">
        <v>1959.93</v>
      </c>
    </row>
    <row r="403" spans="32:34">
      <c r="AF403" s="367">
        <f t="shared" si="6"/>
        <v>40210</v>
      </c>
      <c r="AG403" s="368">
        <v>40213</v>
      </c>
      <c r="AH403" s="369">
        <v>1966.02</v>
      </c>
    </row>
    <row r="404" spans="32:34">
      <c r="AF404" s="367">
        <f t="shared" si="6"/>
        <v>40210</v>
      </c>
      <c r="AG404" s="368">
        <v>40214</v>
      </c>
      <c r="AH404" s="369">
        <v>1984.16</v>
      </c>
    </row>
    <row r="405" spans="32:34">
      <c r="AF405" s="367">
        <f t="shared" si="6"/>
        <v>40210</v>
      </c>
      <c r="AG405" s="368">
        <v>40215</v>
      </c>
      <c r="AH405" s="369">
        <v>1997.13</v>
      </c>
    </row>
    <row r="406" spans="32:34">
      <c r="AF406" s="367">
        <f t="shared" si="6"/>
        <v>40210</v>
      </c>
      <c r="AG406" s="368">
        <v>40216</v>
      </c>
      <c r="AH406" s="369">
        <v>1997.13</v>
      </c>
    </row>
    <row r="407" spans="32:34">
      <c r="AF407" s="367">
        <f t="shared" si="6"/>
        <v>40210</v>
      </c>
      <c r="AG407" s="368">
        <v>40217</v>
      </c>
      <c r="AH407" s="369">
        <v>1997.13</v>
      </c>
    </row>
    <row r="408" spans="32:34">
      <c r="AF408" s="367">
        <f t="shared" si="6"/>
        <v>40210</v>
      </c>
      <c r="AG408" s="368">
        <v>40218</v>
      </c>
      <c r="AH408" s="369">
        <v>2003.76</v>
      </c>
    </row>
    <row r="409" spans="32:34">
      <c r="AF409" s="367">
        <f t="shared" si="6"/>
        <v>40210</v>
      </c>
      <c r="AG409" s="368">
        <v>40219</v>
      </c>
      <c r="AH409" s="369">
        <v>1981.4</v>
      </c>
    </row>
    <row r="410" spans="32:34">
      <c r="AF410" s="367">
        <f t="shared" si="6"/>
        <v>40210</v>
      </c>
      <c r="AG410" s="368">
        <v>40220</v>
      </c>
      <c r="AH410" s="369">
        <v>1965.03</v>
      </c>
    </row>
    <row r="411" spans="32:34">
      <c r="AF411" s="367">
        <f t="shared" si="6"/>
        <v>40210</v>
      </c>
      <c r="AG411" s="368">
        <v>40221</v>
      </c>
      <c r="AH411" s="369">
        <v>1943.6</v>
      </c>
    </row>
    <row r="412" spans="32:34">
      <c r="AF412" s="367">
        <f t="shared" si="6"/>
        <v>40210</v>
      </c>
      <c r="AG412" s="368">
        <v>40222</v>
      </c>
      <c r="AH412" s="369">
        <v>1936.9</v>
      </c>
    </row>
    <row r="413" spans="32:34">
      <c r="AF413" s="367">
        <f t="shared" si="6"/>
        <v>40210</v>
      </c>
      <c r="AG413" s="368">
        <v>40223</v>
      </c>
      <c r="AH413" s="369">
        <v>1936.9</v>
      </c>
    </row>
    <row r="414" spans="32:34">
      <c r="AF414" s="367">
        <f t="shared" si="6"/>
        <v>40210</v>
      </c>
      <c r="AG414" s="368">
        <v>40224</v>
      </c>
      <c r="AH414" s="369">
        <v>1936.9</v>
      </c>
    </row>
    <row r="415" spans="32:34">
      <c r="AF415" s="367">
        <f t="shared" si="6"/>
        <v>40210</v>
      </c>
      <c r="AG415" s="368">
        <v>40225</v>
      </c>
      <c r="AH415" s="369">
        <v>1936.9</v>
      </c>
    </row>
    <row r="416" spans="32:34">
      <c r="AF416" s="367">
        <f t="shared" si="6"/>
        <v>40210</v>
      </c>
      <c r="AG416" s="368">
        <v>40226</v>
      </c>
      <c r="AH416" s="369">
        <v>1925.79</v>
      </c>
    </row>
    <row r="417" spans="32:34">
      <c r="AF417" s="367">
        <f t="shared" si="6"/>
        <v>40210</v>
      </c>
      <c r="AG417" s="368">
        <v>40227</v>
      </c>
      <c r="AH417" s="369">
        <v>1928.79</v>
      </c>
    </row>
    <row r="418" spans="32:34">
      <c r="AF418" s="367">
        <f t="shared" si="6"/>
        <v>40210</v>
      </c>
      <c r="AG418" s="368">
        <v>40228</v>
      </c>
      <c r="AH418" s="369">
        <v>1930.94</v>
      </c>
    </row>
    <row r="419" spans="32:34">
      <c r="AF419" s="367">
        <f t="shared" si="6"/>
        <v>40210</v>
      </c>
      <c r="AG419" s="368">
        <v>40229</v>
      </c>
      <c r="AH419" s="369">
        <v>1928.86</v>
      </c>
    </row>
    <row r="420" spans="32:34">
      <c r="AF420" s="367">
        <f t="shared" si="6"/>
        <v>40210</v>
      </c>
      <c r="AG420" s="368">
        <v>40230</v>
      </c>
      <c r="AH420" s="369">
        <v>1928.86</v>
      </c>
    </row>
    <row r="421" spans="32:34">
      <c r="AF421" s="367">
        <f t="shared" si="6"/>
        <v>40210</v>
      </c>
      <c r="AG421" s="368">
        <v>40231</v>
      </c>
      <c r="AH421" s="369">
        <v>1928.86</v>
      </c>
    </row>
    <row r="422" spans="32:34">
      <c r="AF422" s="367">
        <f t="shared" si="6"/>
        <v>40210</v>
      </c>
      <c r="AG422" s="368">
        <v>40232</v>
      </c>
      <c r="AH422" s="369">
        <v>1914.87</v>
      </c>
    </row>
    <row r="423" spans="32:34">
      <c r="AF423" s="367">
        <f t="shared" si="6"/>
        <v>40210</v>
      </c>
      <c r="AG423" s="368">
        <v>40233</v>
      </c>
      <c r="AH423" s="369">
        <v>1924.75</v>
      </c>
    </row>
    <row r="424" spans="32:34">
      <c r="AF424" s="367">
        <f t="shared" si="6"/>
        <v>40210</v>
      </c>
      <c r="AG424" s="368">
        <v>40234</v>
      </c>
      <c r="AH424" s="369">
        <v>1932.15</v>
      </c>
    </row>
    <row r="425" spans="32:34">
      <c r="AF425" s="367">
        <f t="shared" si="6"/>
        <v>40210</v>
      </c>
      <c r="AG425" s="368">
        <v>40235</v>
      </c>
      <c r="AH425" s="369">
        <v>1941.98</v>
      </c>
    </row>
    <row r="426" spans="32:34">
      <c r="AF426" s="367">
        <f t="shared" si="6"/>
        <v>40210</v>
      </c>
      <c r="AG426" s="368">
        <v>40236</v>
      </c>
      <c r="AH426" s="369">
        <v>1932.32</v>
      </c>
    </row>
    <row r="427" spans="32:34">
      <c r="AF427" s="367">
        <f t="shared" si="6"/>
        <v>40210</v>
      </c>
      <c r="AG427" s="368">
        <v>40237</v>
      </c>
      <c r="AH427" s="369">
        <v>1932.32</v>
      </c>
    </row>
    <row r="428" spans="32:34">
      <c r="AF428" s="367">
        <f t="shared" si="6"/>
        <v>40238</v>
      </c>
      <c r="AG428" s="368">
        <v>40238</v>
      </c>
      <c r="AH428" s="369">
        <v>1932.32</v>
      </c>
    </row>
    <row r="429" spans="32:34">
      <c r="AF429" s="367">
        <f t="shared" si="6"/>
        <v>40238</v>
      </c>
      <c r="AG429" s="368">
        <v>40239</v>
      </c>
      <c r="AH429" s="369">
        <v>1913.86</v>
      </c>
    </row>
    <row r="430" spans="32:34">
      <c r="AF430" s="367">
        <f t="shared" si="6"/>
        <v>40238</v>
      </c>
      <c r="AG430" s="368">
        <v>40240</v>
      </c>
      <c r="AH430" s="369">
        <v>1895.86</v>
      </c>
    </row>
    <row r="431" spans="32:34">
      <c r="AF431" s="367">
        <f t="shared" si="6"/>
        <v>40238</v>
      </c>
      <c r="AG431" s="368">
        <v>40241</v>
      </c>
      <c r="AH431" s="369">
        <v>1916.41</v>
      </c>
    </row>
    <row r="432" spans="32:34">
      <c r="AF432" s="367">
        <f t="shared" si="6"/>
        <v>40238</v>
      </c>
      <c r="AG432" s="368">
        <v>40242</v>
      </c>
      <c r="AH432" s="369">
        <v>1928.33</v>
      </c>
    </row>
    <row r="433" spans="32:34">
      <c r="AF433" s="367">
        <f t="shared" si="6"/>
        <v>40238</v>
      </c>
      <c r="AG433" s="368">
        <v>40243</v>
      </c>
      <c r="AH433" s="369">
        <v>1902.31</v>
      </c>
    </row>
    <row r="434" spans="32:34">
      <c r="AF434" s="367">
        <f t="shared" si="6"/>
        <v>40238</v>
      </c>
      <c r="AG434" s="368">
        <v>40244</v>
      </c>
      <c r="AH434" s="369">
        <v>1902.31</v>
      </c>
    </row>
    <row r="435" spans="32:34">
      <c r="AF435" s="367">
        <f t="shared" si="6"/>
        <v>40238</v>
      </c>
      <c r="AG435" s="368">
        <v>40245</v>
      </c>
      <c r="AH435" s="369">
        <v>1902.31</v>
      </c>
    </row>
    <row r="436" spans="32:34">
      <c r="AF436" s="367">
        <f t="shared" si="6"/>
        <v>40238</v>
      </c>
      <c r="AG436" s="368">
        <v>40246</v>
      </c>
      <c r="AH436" s="369">
        <v>1894.44</v>
      </c>
    </row>
    <row r="437" spans="32:34">
      <c r="AF437" s="367">
        <f t="shared" si="6"/>
        <v>40238</v>
      </c>
      <c r="AG437" s="368">
        <v>40247</v>
      </c>
      <c r="AH437" s="369">
        <v>1894.3</v>
      </c>
    </row>
    <row r="438" spans="32:34">
      <c r="AF438" s="367">
        <f t="shared" si="6"/>
        <v>40238</v>
      </c>
      <c r="AG438" s="368">
        <v>40248</v>
      </c>
      <c r="AH438" s="369">
        <v>1888.05</v>
      </c>
    </row>
    <row r="439" spans="32:34">
      <c r="AF439" s="367">
        <f t="shared" si="6"/>
        <v>40238</v>
      </c>
      <c r="AG439" s="368">
        <v>40249</v>
      </c>
      <c r="AH439" s="369">
        <v>1894.79</v>
      </c>
    </row>
    <row r="440" spans="32:34">
      <c r="AF440" s="367">
        <f t="shared" si="6"/>
        <v>40238</v>
      </c>
      <c r="AG440" s="368">
        <v>40250</v>
      </c>
      <c r="AH440" s="369">
        <v>1892.99</v>
      </c>
    </row>
    <row r="441" spans="32:34">
      <c r="AF441" s="367">
        <f t="shared" si="6"/>
        <v>40238</v>
      </c>
      <c r="AG441" s="368">
        <v>40251</v>
      </c>
      <c r="AH441" s="369">
        <v>1892.99</v>
      </c>
    </row>
    <row r="442" spans="32:34">
      <c r="AF442" s="367">
        <f t="shared" si="6"/>
        <v>40238</v>
      </c>
      <c r="AG442" s="368">
        <v>40252</v>
      </c>
      <c r="AH442" s="369">
        <v>1892.99</v>
      </c>
    </row>
    <row r="443" spans="32:34">
      <c r="AF443" s="367">
        <f t="shared" si="6"/>
        <v>40238</v>
      </c>
      <c r="AG443" s="368">
        <v>40253</v>
      </c>
      <c r="AH443" s="369">
        <v>1899.75</v>
      </c>
    </row>
    <row r="444" spans="32:34">
      <c r="AF444" s="367">
        <f t="shared" si="6"/>
        <v>40238</v>
      </c>
      <c r="AG444" s="368">
        <v>40254</v>
      </c>
      <c r="AH444" s="369">
        <v>1896.15</v>
      </c>
    </row>
    <row r="445" spans="32:34">
      <c r="AF445" s="367">
        <f t="shared" si="6"/>
        <v>40238</v>
      </c>
      <c r="AG445" s="368">
        <v>40255</v>
      </c>
      <c r="AH445" s="369">
        <v>1893.42</v>
      </c>
    </row>
    <row r="446" spans="32:34">
      <c r="AF446" s="367">
        <f t="shared" si="6"/>
        <v>40238</v>
      </c>
      <c r="AG446" s="368">
        <v>40256</v>
      </c>
      <c r="AH446" s="369">
        <v>1900.55</v>
      </c>
    </row>
    <row r="447" spans="32:34">
      <c r="AF447" s="367">
        <f t="shared" si="6"/>
        <v>40238</v>
      </c>
      <c r="AG447" s="368">
        <v>40257</v>
      </c>
      <c r="AH447" s="369">
        <v>1907.06</v>
      </c>
    </row>
    <row r="448" spans="32:34">
      <c r="AF448" s="367">
        <f t="shared" si="6"/>
        <v>40238</v>
      </c>
      <c r="AG448" s="368">
        <v>40258</v>
      </c>
      <c r="AH448" s="369">
        <v>1907.06</v>
      </c>
    </row>
    <row r="449" spans="32:34">
      <c r="AF449" s="367">
        <f t="shared" si="6"/>
        <v>40238</v>
      </c>
      <c r="AG449" s="368">
        <v>40259</v>
      </c>
      <c r="AH449" s="369">
        <v>1907.06</v>
      </c>
    </row>
    <row r="450" spans="32:34">
      <c r="AF450" s="367">
        <f t="shared" si="6"/>
        <v>40238</v>
      </c>
      <c r="AG450" s="368">
        <v>40260</v>
      </c>
      <c r="AH450" s="369">
        <v>1907.06</v>
      </c>
    </row>
    <row r="451" spans="32:34">
      <c r="AF451" s="367">
        <f t="shared" si="6"/>
        <v>40238</v>
      </c>
      <c r="AG451" s="368">
        <v>40261</v>
      </c>
      <c r="AH451" s="369">
        <v>1907.06</v>
      </c>
    </row>
    <row r="452" spans="32:34">
      <c r="AF452" s="367">
        <f t="shared" ref="AF452:AF515" si="7">+DATE(YEAR(AG452),MONTH(AG452),1)</f>
        <v>40238</v>
      </c>
      <c r="AG452" s="368">
        <v>40262</v>
      </c>
      <c r="AH452" s="369">
        <v>1923.41</v>
      </c>
    </row>
    <row r="453" spans="32:34">
      <c r="AF453" s="367">
        <f t="shared" si="7"/>
        <v>40238</v>
      </c>
      <c r="AG453" s="368">
        <v>40263</v>
      </c>
      <c r="AH453" s="369">
        <v>1922.91</v>
      </c>
    </row>
    <row r="454" spans="32:34">
      <c r="AF454" s="367">
        <f t="shared" si="7"/>
        <v>40238</v>
      </c>
      <c r="AG454" s="368">
        <v>40264</v>
      </c>
      <c r="AH454" s="369">
        <v>1933.4</v>
      </c>
    </row>
    <row r="455" spans="32:34">
      <c r="AF455" s="367">
        <f t="shared" si="7"/>
        <v>40238</v>
      </c>
      <c r="AG455" s="368">
        <v>40265</v>
      </c>
      <c r="AH455" s="369">
        <v>1933.4</v>
      </c>
    </row>
    <row r="456" spans="32:34">
      <c r="AF456" s="367">
        <f t="shared" si="7"/>
        <v>40238</v>
      </c>
      <c r="AG456" s="368">
        <v>40266</v>
      </c>
      <c r="AH456" s="369">
        <v>1933.4</v>
      </c>
    </row>
    <row r="457" spans="32:34">
      <c r="AF457" s="367">
        <f t="shared" si="7"/>
        <v>40238</v>
      </c>
      <c r="AG457" s="368">
        <v>40267</v>
      </c>
      <c r="AH457" s="369">
        <v>1934.21</v>
      </c>
    </row>
    <row r="458" spans="32:34">
      <c r="AF458" s="367">
        <f t="shared" si="7"/>
        <v>40238</v>
      </c>
      <c r="AG458" s="368">
        <v>40268</v>
      </c>
      <c r="AH458" s="369">
        <v>1928.59</v>
      </c>
    </row>
    <row r="459" spans="32:34">
      <c r="AF459" s="367">
        <f t="shared" si="7"/>
        <v>40269</v>
      </c>
      <c r="AG459" s="368">
        <v>40269</v>
      </c>
      <c r="AH459" s="369">
        <v>1921.88</v>
      </c>
    </row>
    <row r="460" spans="32:34">
      <c r="AF460" s="367">
        <f t="shared" si="7"/>
        <v>40269</v>
      </c>
      <c r="AG460" s="368">
        <v>40270</v>
      </c>
      <c r="AH460" s="369">
        <v>1921.88</v>
      </c>
    </row>
    <row r="461" spans="32:34">
      <c r="AF461" s="367">
        <f t="shared" si="7"/>
        <v>40269</v>
      </c>
      <c r="AG461" s="368">
        <v>40271</v>
      </c>
      <c r="AH461" s="369">
        <v>1921.88</v>
      </c>
    </row>
    <row r="462" spans="32:34">
      <c r="AF462" s="367">
        <f t="shared" si="7"/>
        <v>40269</v>
      </c>
      <c r="AG462" s="368">
        <v>40272</v>
      </c>
      <c r="AH462" s="369">
        <v>1921.88</v>
      </c>
    </row>
    <row r="463" spans="32:34">
      <c r="AF463" s="367">
        <f t="shared" si="7"/>
        <v>40269</v>
      </c>
      <c r="AG463" s="368">
        <v>40273</v>
      </c>
      <c r="AH463" s="369">
        <v>1921.88</v>
      </c>
    </row>
    <row r="464" spans="32:34">
      <c r="AF464" s="367">
        <f t="shared" si="7"/>
        <v>40269</v>
      </c>
      <c r="AG464" s="368">
        <v>40274</v>
      </c>
      <c r="AH464" s="369">
        <v>1911.78</v>
      </c>
    </row>
    <row r="465" spans="32:34">
      <c r="AF465" s="367">
        <f t="shared" si="7"/>
        <v>40269</v>
      </c>
      <c r="AG465" s="368">
        <v>40275</v>
      </c>
      <c r="AH465" s="369">
        <v>1911.07</v>
      </c>
    </row>
    <row r="466" spans="32:34">
      <c r="AF466" s="367">
        <f t="shared" si="7"/>
        <v>40269</v>
      </c>
      <c r="AG466" s="368">
        <v>40276</v>
      </c>
      <c r="AH466" s="369">
        <v>1920.53</v>
      </c>
    </row>
    <row r="467" spans="32:34">
      <c r="AF467" s="367">
        <f t="shared" si="7"/>
        <v>40269</v>
      </c>
      <c r="AG467" s="368">
        <v>40277</v>
      </c>
      <c r="AH467" s="369">
        <v>1931.91</v>
      </c>
    </row>
    <row r="468" spans="32:34">
      <c r="AF468" s="367">
        <f t="shared" si="7"/>
        <v>40269</v>
      </c>
      <c r="AG468" s="368">
        <v>40278</v>
      </c>
      <c r="AH468" s="369">
        <v>1921.32</v>
      </c>
    </row>
    <row r="469" spans="32:34">
      <c r="AF469" s="367">
        <f t="shared" si="7"/>
        <v>40269</v>
      </c>
      <c r="AG469" s="368">
        <v>40279</v>
      </c>
      <c r="AH469" s="369">
        <v>1921.32</v>
      </c>
    </row>
    <row r="470" spans="32:34">
      <c r="AF470" s="367">
        <f t="shared" si="7"/>
        <v>40269</v>
      </c>
      <c r="AG470" s="368">
        <v>40280</v>
      </c>
      <c r="AH470" s="369">
        <v>1921.32</v>
      </c>
    </row>
    <row r="471" spans="32:34">
      <c r="AF471" s="367">
        <f t="shared" si="7"/>
        <v>40269</v>
      </c>
      <c r="AG471" s="368">
        <v>40281</v>
      </c>
      <c r="AH471" s="369">
        <v>1926.16</v>
      </c>
    </row>
    <row r="472" spans="32:34">
      <c r="AF472" s="367">
        <f t="shared" si="7"/>
        <v>40269</v>
      </c>
      <c r="AG472" s="368">
        <v>40282</v>
      </c>
      <c r="AH472" s="369">
        <v>1936.22</v>
      </c>
    </row>
    <row r="473" spans="32:34">
      <c r="AF473" s="367">
        <f t="shared" si="7"/>
        <v>40269</v>
      </c>
      <c r="AG473" s="368">
        <v>40283</v>
      </c>
      <c r="AH473" s="369">
        <v>1938.24</v>
      </c>
    </row>
    <row r="474" spans="32:34">
      <c r="AF474" s="367">
        <f t="shared" si="7"/>
        <v>40269</v>
      </c>
      <c r="AG474" s="368">
        <v>40284</v>
      </c>
      <c r="AH474" s="369">
        <v>1943.83</v>
      </c>
    </row>
    <row r="475" spans="32:34">
      <c r="AF475" s="367">
        <f t="shared" si="7"/>
        <v>40269</v>
      </c>
      <c r="AG475" s="368">
        <v>40285</v>
      </c>
      <c r="AH475" s="369">
        <v>1942.21</v>
      </c>
    </row>
    <row r="476" spans="32:34">
      <c r="AF476" s="367">
        <f t="shared" si="7"/>
        <v>40269</v>
      </c>
      <c r="AG476" s="368">
        <v>40286</v>
      </c>
      <c r="AH476" s="369">
        <v>1942.21</v>
      </c>
    </row>
    <row r="477" spans="32:34">
      <c r="AF477" s="367">
        <f t="shared" si="7"/>
        <v>40269</v>
      </c>
      <c r="AG477" s="368">
        <v>40287</v>
      </c>
      <c r="AH477" s="369">
        <v>1942.21</v>
      </c>
    </row>
    <row r="478" spans="32:34">
      <c r="AF478" s="367">
        <f t="shared" si="7"/>
        <v>40269</v>
      </c>
      <c r="AG478" s="368">
        <v>40288</v>
      </c>
      <c r="AH478" s="369">
        <v>1951.04</v>
      </c>
    </row>
    <row r="479" spans="32:34">
      <c r="AF479" s="367">
        <f t="shared" si="7"/>
        <v>40269</v>
      </c>
      <c r="AG479" s="368">
        <v>40289</v>
      </c>
      <c r="AH479" s="369">
        <v>1947.69</v>
      </c>
    </row>
    <row r="480" spans="32:34">
      <c r="AF480" s="367">
        <f t="shared" si="7"/>
        <v>40269</v>
      </c>
      <c r="AG480" s="368">
        <v>40290</v>
      </c>
      <c r="AH480" s="369">
        <v>1948.47</v>
      </c>
    </row>
    <row r="481" spans="32:34">
      <c r="AF481" s="367">
        <f t="shared" si="7"/>
        <v>40269</v>
      </c>
      <c r="AG481" s="368">
        <v>40291</v>
      </c>
      <c r="AH481" s="369">
        <v>1955.84</v>
      </c>
    </row>
    <row r="482" spans="32:34">
      <c r="AF482" s="367">
        <f t="shared" si="7"/>
        <v>40269</v>
      </c>
      <c r="AG482" s="368">
        <v>40292</v>
      </c>
      <c r="AH482" s="369">
        <v>1950.89</v>
      </c>
    </row>
    <row r="483" spans="32:34">
      <c r="AF483" s="367">
        <f t="shared" si="7"/>
        <v>40269</v>
      </c>
      <c r="AG483" s="368">
        <v>40293</v>
      </c>
      <c r="AH483" s="369">
        <v>1950.89</v>
      </c>
    </row>
    <row r="484" spans="32:34">
      <c r="AF484" s="367">
        <f t="shared" si="7"/>
        <v>40269</v>
      </c>
      <c r="AG484" s="368">
        <v>40294</v>
      </c>
      <c r="AH484" s="369">
        <v>1950.89</v>
      </c>
    </row>
    <row r="485" spans="32:34">
      <c r="AF485" s="367">
        <f t="shared" si="7"/>
        <v>40269</v>
      </c>
      <c r="AG485" s="368">
        <v>40295</v>
      </c>
      <c r="AH485" s="369">
        <v>1943.41</v>
      </c>
    </row>
    <row r="486" spans="32:34">
      <c r="AF486" s="367">
        <f t="shared" si="7"/>
        <v>40269</v>
      </c>
      <c r="AG486" s="368">
        <v>40296</v>
      </c>
      <c r="AH486" s="369">
        <v>1961.82</v>
      </c>
    </row>
    <row r="487" spans="32:34">
      <c r="AF487" s="367">
        <f t="shared" si="7"/>
        <v>40269</v>
      </c>
      <c r="AG487" s="368">
        <v>40297</v>
      </c>
      <c r="AH487" s="369">
        <v>1973.05</v>
      </c>
    </row>
    <row r="488" spans="32:34">
      <c r="AF488" s="367">
        <f t="shared" si="7"/>
        <v>40269</v>
      </c>
      <c r="AG488" s="368">
        <v>40298</v>
      </c>
      <c r="AH488" s="369">
        <v>1969.75</v>
      </c>
    </row>
    <row r="489" spans="32:34">
      <c r="AF489" s="367">
        <f t="shared" si="7"/>
        <v>40299</v>
      </c>
      <c r="AG489" s="368">
        <v>40299</v>
      </c>
      <c r="AH489" s="369">
        <v>1950.44</v>
      </c>
    </row>
    <row r="490" spans="32:34">
      <c r="AF490" s="367">
        <f t="shared" si="7"/>
        <v>40299</v>
      </c>
      <c r="AG490" s="368">
        <v>40300</v>
      </c>
      <c r="AH490" s="369">
        <v>1950.44</v>
      </c>
    </row>
    <row r="491" spans="32:34">
      <c r="AF491" s="367">
        <f t="shared" si="7"/>
        <v>40299</v>
      </c>
      <c r="AG491" s="368">
        <v>40301</v>
      </c>
      <c r="AH491" s="369">
        <v>1950.44</v>
      </c>
    </row>
    <row r="492" spans="32:34">
      <c r="AF492" s="367">
        <f t="shared" si="7"/>
        <v>40299</v>
      </c>
      <c r="AG492" s="368">
        <v>40302</v>
      </c>
      <c r="AH492" s="369">
        <v>1973.42</v>
      </c>
    </row>
    <row r="493" spans="32:34">
      <c r="AF493" s="367">
        <f t="shared" si="7"/>
        <v>40299</v>
      </c>
      <c r="AG493" s="368">
        <v>40303</v>
      </c>
      <c r="AH493" s="369">
        <v>1988.47</v>
      </c>
    </row>
    <row r="494" spans="32:34">
      <c r="AF494" s="367">
        <f t="shared" si="7"/>
        <v>40299</v>
      </c>
      <c r="AG494" s="368">
        <v>40304</v>
      </c>
      <c r="AH494" s="369">
        <v>2003.37</v>
      </c>
    </row>
    <row r="495" spans="32:34">
      <c r="AF495" s="367">
        <f t="shared" si="7"/>
        <v>40299</v>
      </c>
      <c r="AG495" s="368">
        <v>40305</v>
      </c>
      <c r="AH495" s="369">
        <v>2010.13</v>
      </c>
    </row>
    <row r="496" spans="32:34">
      <c r="AF496" s="367">
        <f t="shared" si="7"/>
        <v>40299</v>
      </c>
      <c r="AG496" s="368">
        <v>40306</v>
      </c>
      <c r="AH496" s="369">
        <v>2029.54</v>
      </c>
    </row>
    <row r="497" spans="32:34">
      <c r="AF497" s="367">
        <f t="shared" si="7"/>
        <v>40299</v>
      </c>
      <c r="AG497" s="368">
        <v>40307</v>
      </c>
      <c r="AH497" s="369">
        <v>2029.54</v>
      </c>
    </row>
    <row r="498" spans="32:34">
      <c r="AF498" s="367">
        <f t="shared" si="7"/>
        <v>40299</v>
      </c>
      <c r="AG498" s="368">
        <v>40308</v>
      </c>
      <c r="AH498" s="369">
        <v>2029.54</v>
      </c>
    </row>
    <row r="499" spans="32:34">
      <c r="AF499" s="367">
        <f t="shared" si="7"/>
        <v>40299</v>
      </c>
      <c r="AG499" s="368">
        <v>40309</v>
      </c>
      <c r="AH499" s="369">
        <v>1988.32</v>
      </c>
    </row>
    <row r="500" spans="32:34">
      <c r="AF500" s="367">
        <f t="shared" si="7"/>
        <v>40299</v>
      </c>
      <c r="AG500" s="368">
        <v>40310</v>
      </c>
      <c r="AH500" s="369">
        <v>1980.5</v>
      </c>
    </row>
    <row r="501" spans="32:34">
      <c r="AF501" s="367">
        <f t="shared" si="7"/>
        <v>40299</v>
      </c>
      <c r="AG501" s="368">
        <v>40311</v>
      </c>
      <c r="AH501" s="369">
        <v>1966.36</v>
      </c>
    </row>
    <row r="502" spans="32:34">
      <c r="AF502" s="367">
        <f t="shared" si="7"/>
        <v>40299</v>
      </c>
      <c r="AG502" s="368">
        <v>40312</v>
      </c>
      <c r="AH502" s="369">
        <v>1959.62</v>
      </c>
    </row>
    <row r="503" spans="32:34">
      <c r="AF503" s="367">
        <f t="shared" si="7"/>
        <v>40299</v>
      </c>
      <c r="AG503" s="368">
        <v>40313</v>
      </c>
      <c r="AH503" s="369">
        <v>1968.1</v>
      </c>
    </row>
    <row r="504" spans="32:34">
      <c r="AF504" s="367">
        <f t="shared" si="7"/>
        <v>40299</v>
      </c>
      <c r="AG504" s="368">
        <v>40314</v>
      </c>
      <c r="AH504" s="369">
        <v>1968.1</v>
      </c>
    </row>
    <row r="505" spans="32:34">
      <c r="AF505" s="367">
        <f t="shared" si="7"/>
        <v>40299</v>
      </c>
      <c r="AG505" s="368">
        <v>40315</v>
      </c>
      <c r="AH505" s="369">
        <v>1968.1</v>
      </c>
    </row>
    <row r="506" spans="32:34">
      <c r="AF506" s="367">
        <f t="shared" si="7"/>
        <v>40299</v>
      </c>
      <c r="AG506" s="368">
        <v>40316</v>
      </c>
      <c r="AH506" s="369">
        <v>1968.1</v>
      </c>
    </row>
    <row r="507" spans="32:34">
      <c r="AF507" s="367">
        <f t="shared" si="7"/>
        <v>40299</v>
      </c>
      <c r="AG507" s="368">
        <v>40317</v>
      </c>
      <c r="AH507" s="369">
        <v>1976.46</v>
      </c>
    </row>
    <row r="508" spans="32:34">
      <c r="AF508" s="367">
        <f t="shared" si="7"/>
        <v>40299</v>
      </c>
      <c r="AG508" s="368">
        <v>40318</v>
      </c>
      <c r="AH508" s="369">
        <v>1997.09</v>
      </c>
    </row>
    <row r="509" spans="32:34">
      <c r="AF509" s="367">
        <f t="shared" si="7"/>
        <v>40299</v>
      </c>
      <c r="AG509" s="368">
        <v>40319</v>
      </c>
      <c r="AH509" s="369">
        <v>2017.68</v>
      </c>
    </row>
    <row r="510" spans="32:34">
      <c r="AF510" s="367">
        <f t="shared" si="7"/>
        <v>40299</v>
      </c>
      <c r="AG510" s="368">
        <v>40320</v>
      </c>
      <c r="AH510" s="369">
        <v>1998.42</v>
      </c>
    </row>
    <row r="511" spans="32:34">
      <c r="AF511" s="367">
        <f t="shared" si="7"/>
        <v>40299</v>
      </c>
      <c r="AG511" s="368">
        <v>40321</v>
      </c>
      <c r="AH511" s="369">
        <v>1998.42</v>
      </c>
    </row>
    <row r="512" spans="32:34">
      <c r="AF512" s="367">
        <f t="shared" si="7"/>
        <v>40299</v>
      </c>
      <c r="AG512" s="368">
        <v>40322</v>
      </c>
      <c r="AH512" s="369">
        <v>1998.42</v>
      </c>
    </row>
    <row r="513" spans="32:34">
      <c r="AF513" s="367">
        <f t="shared" si="7"/>
        <v>40299</v>
      </c>
      <c r="AG513" s="368">
        <v>40323</v>
      </c>
      <c r="AH513" s="369">
        <v>1975.01</v>
      </c>
    </row>
    <row r="514" spans="32:34">
      <c r="AF514" s="367">
        <f t="shared" si="7"/>
        <v>40299</v>
      </c>
      <c r="AG514" s="368">
        <v>40324</v>
      </c>
      <c r="AH514" s="369">
        <v>1989.51</v>
      </c>
    </row>
    <row r="515" spans="32:34">
      <c r="AF515" s="367">
        <f t="shared" si="7"/>
        <v>40299</v>
      </c>
      <c r="AG515" s="368">
        <v>40325</v>
      </c>
      <c r="AH515" s="369">
        <v>1976.4</v>
      </c>
    </row>
    <row r="516" spans="32:34">
      <c r="AF516" s="367">
        <f t="shared" ref="AF516:AF579" si="8">+DATE(YEAR(AG516),MONTH(AG516),1)</f>
        <v>40299</v>
      </c>
      <c r="AG516" s="368">
        <v>40326</v>
      </c>
      <c r="AH516" s="369">
        <v>1966.8</v>
      </c>
    </row>
    <row r="517" spans="32:34">
      <c r="AF517" s="367">
        <f t="shared" si="8"/>
        <v>40299</v>
      </c>
      <c r="AG517" s="368">
        <v>40327</v>
      </c>
      <c r="AH517" s="369">
        <v>1971.55</v>
      </c>
    </row>
    <row r="518" spans="32:34">
      <c r="AF518" s="367">
        <f t="shared" si="8"/>
        <v>40299</v>
      </c>
      <c r="AG518" s="368">
        <v>40328</v>
      </c>
      <c r="AH518" s="369">
        <v>1971.55</v>
      </c>
    </row>
    <row r="519" spans="32:34">
      <c r="AF519" s="367">
        <f t="shared" si="8"/>
        <v>40299</v>
      </c>
      <c r="AG519" s="368">
        <v>40329</v>
      </c>
      <c r="AH519" s="369">
        <v>1971.55</v>
      </c>
    </row>
    <row r="520" spans="32:34">
      <c r="AF520" s="367">
        <f t="shared" si="8"/>
        <v>40330</v>
      </c>
      <c r="AG520" s="368">
        <v>40330</v>
      </c>
      <c r="AH520" s="369">
        <v>1971.55</v>
      </c>
    </row>
    <row r="521" spans="32:34">
      <c r="AF521" s="367">
        <f t="shared" si="8"/>
        <v>40330</v>
      </c>
      <c r="AG521" s="368">
        <v>40331</v>
      </c>
      <c r="AH521" s="369">
        <v>1971.45</v>
      </c>
    </row>
    <row r="522" spans="32:34">
      <c r="AF522" s="367">
        <f t="shared" si="8"/>
        <v>40330</v>
      </c>
      <c r="AG522" s="368">
        <v>40332</v>
      </c>
      <c r="AH522" s="369">
        <v>1963.36</v>
      </c>
    </row>
    <row r="523" spans="32:34">
      <c r="AF523" s="367">
        <f t="shared" si="8"/>
        <v>40330</v>
      </c>
      <c r="AG523" s="368">
        <v>40333</v>
      </c>
      <c r="AH523" s="369">
        <v>1961.47</v>
      </c>
    </row>
    <row r="524" spans="32:34">
      <c r="AF524" s="367">
        <f t="shared" si="8"/>
        <v>40330</v>
      </c>
      <c r="AG524" s="368">
        <v>40334</v>
      </c>
      <c r="AH524" s="369">
        <v>1965.83</v>
      </c>
    </row>
    <row r="525" spans="32:34">
      <c r="AF525" s="367">
        <f t="shared" si="8"/>
        <v>40330</v>
      </c>
      <c r="AG525" s="368">
        <v>40335</v>
      </c>
      <c r="AH525" s="369">
        <v>1965.83</v>
      </c>
    </row>
    <row r="526" spans="32:34">
      <c r="AF526" s="367">
        <f t="shared" si="8"/>
        <v>40330</v>
      </c>
      <c r="AG526" s="368">
        <v>40336</v>
      </c>
      <c r="AH526" s="369">
        <v>1965.83</v>
      </c>
    </row>
    <row r="527" spans="32:34">
      <c r="AF527" s="367">
        <f t="shared" si="8"/>
        <v>40330</v>
      </c>
      <c r="AG527" s="368">
        <v>40337</v>
      </c>
      <c r="AH527" s="369">
        <v>1965.83</v>
      </c>
    </row>
    <row r="528" spans="32:34">
      <c r="AF528" s="367">
        <f t="shared" si="8"/>
        <v>40330</v>
      </c>
      <c r="AG528" s="368">
        <v>40338</v>
      </c>
      <c r="AH528" s="369">
        <v>1960.5</v>
      </c>
    </row>
    <row r="529" spans="32:34">
      <c r="AF529" s="367">
        <f t="shared" si="8"/>
        <v>40330</v>
      </c>
      <c r="AG529" s="368">
        <v>40339</v>
      </c>
      <c r="AH529" s="369">
        <v>1943.41</v>
      </c>
    </row>
    <row r="530" spans="32:34">
      <c r="AF530" s="367">
        <f t="shared" si="8"/>
        <v>40330</v>
      </c>
      <c r="AG530" s="368">
        <v>40340</v>
      </c>
      <c r="AH530" s="369">
        <v>1928.83</v>
      </c>
    </row>
    <row r="531" spans="32:34">
      <c r="AF531" s="367">
        <f t="shared" si="8"/>
        <v>40330</v>
      </c>
      <c r="AG531" s="368">
        <v>40341</v>
      </c>
      <c r="AH531" s="369">
        <v>1925.35</v>
      </c>
    </row>
    <row r="532" spans="32:34">
      <c r="AF532" s="367">
        <f t="shared" si="8"/>
        <v>40330</v>
      </c>
      <c r="AG532" s="368">
        <v>40342</v>
      </c>
      <c r="AH532" s="369">
        <v>1925.35</v>
      </c>
    </row>
    <row r="533" spans="32:34">
      <c r="AF533" s="367">
        <f t="shared" si="8"/>
        <v>40330</v>
      </c>
      <c r="AG533" s="368">
        <v>40343</v>
      </c>
      <c r="AH533" s="369">
        <v>1925.35</v>
      </c>
    </row>
    <row r="534" spans="32:34">
      <c r="AF534" s="367">
        <f t="shared" si="8"/>
        <v>40330</v>
      </c>
      <c r="AG534" s="368">
        <v>40344</v>
      </c>
      <c r="AH534" s="369">
        <v>1925.35</v>
      </c>
    </row>
    <row r="535" spans="32:34">
      <c r="AF535" s="367">
        <f t="shared" si="8"/>
        <v>40330</v>
      </c>
      <c r="AG535" s="368">
        <v>40345</v>
      </c>
      <c r="AH535" s="369">
        <v>1917.82</v>
      </c>
    </row>
    <row r="536" spans="32:34">
      <c r="AF536" s="367">
        <f t="shared" si="8"/>
        <v>40330</v>
      </c>
      <c r="AG536" s="368">
        <v>40346</v>
      </c>
      <c r="AH536" s="369">
        <v>1912.29</v>
      </c>
    </row>
    <row r="537" spans="32:34">
      <c r="AF537" s="367">
        <f t="shared" si="8"/>
        <v>40330</v>
      </c>
      <c r="AG537" s="368">
        <v>40347</v>
      </c>
      <c r="AH537" s="369">
        <v>1902.78</v>
      </c>
    </row>
    <row r="538" spans="32:34">
      <c r="AF538" s="367">
        <f t="shared" si="8"/>
        <v>40330</v>
      </c>
      <c r="AG538" s="368">
        <v>40348</v>
      </c>
      <c r="AH538" s="369">
        <v>1906.61</v>
      </c>
    </row>
    <row r="539" spans="32:34">
      <c r="AF539" s="367">
        <f t="shared" si="8"/>
        <v>40330</v>
      </c>
      <c r="AG539" s="368">
        <v>40349</v>
      </c>
      <c r="AH539" s="369">
        <v>1906.61</v>
      </c>
    </row>
    <row r="540" spans="32:34">
      <c r="AF540" s="367">
        <f t="shared" si="8"/>
        <v>40330</v>
      </c>
      <c r="AG540" s="368">
        <v>40350</v>
      </c>
      <c r="AH540" s="369">
        <v>1906.61</v>
      </c>
    </row>
    <row r="541" spans="32:34">
      <c r="AF541" s="367">
        <f t="shared" si="8"/>
        <v>40330</v>
      </c>
      <c r="AG541" s="368">
        <v>40351</v>
      </c>
      <c r="AH541" s="369">
        <v>1889.51</v>
      </c>
    </row>
    <row r="542" spans="32:34">
      <c r="AF542" s="367">
        <f t="shared" si="8"/>
        <v>40330</v>
      </c>
      <c r="AG542" s="368">
        <v>40352</v>
      </c>
      <c r="AH542" s="369">
        <v>1886.05</v>
      </c>
    </row>
    <row r="543" spans="32:34">
      <c r="AF543" s="367">
        <f t="shared" si="8"/>
        <v>40330</v>
      </c>
      <c r="AG543" s="368">
        <v>40353</v>
      </c>
      <c r="AH543" s="369">
        <v>1895.75</v>
      </c>
    </row>
    <row r="544" spans="32:34">
      <c r="AF544" s="367">
        <f t="shared" si="8"/>
        <v>40330</v>
      </c>
      <c r="AG544" s="368">
        <v>40354</v>
      </c>
      <c r="AH544" s="369">
        <v>1896.87</v>
      </c>
    </row>
    <row r="545" spans="32:34">
      <c r="AF545" s="367">
        <f t="shared" si="8"/>
        <v>40330</v>
      </c>
      <c r="AG545" s="368">
        <v>40355</v>
      </c>
      <c r="AH545" s="369">
        <v>1900.36</v>
      </c>
    </row>
    <row r="546" spans="32:34">
      <c r="AF546" s="367">
        <f t="shared" si="8"/>
        <v>40330</v>
      </c>
      <c r="AG546" s="368">
        <v>40356</v>
      </c>
      <c r="AH546" s="369">
        <v>1900.36</v>
      </c>
    </row>
    <row r="547" spans="32:34">
      <c r="AF547" s="367">
        <f t="shared" si="8"/>
        <v>40330</v>
      </c>
      <c r="AG547" s="368">
        <v>40357</v>
      </c>
      <c r="AH547" s="369">
        <v>1900.36</v>
      </c>
    </row>
    <row r="548" spans="32:34">
      <c r="AF548" s="367">
        <f t="shared" si="8"/>
        <v>40330</v>
      </c>
      <c r="AG548" s="368">
        <v>40358</v>
      </c>
      <c r="AH548" s="369">
        <v>1901.65</v>
      </c>
    </row>
    <row r="549" spans="32:34">
      <c r="AF549" s="367">
        <f t="shared" si="8"/>
        <v>40330</v>
      </c>
      <c r="AG549" s="368">
        <v>40359</v>
      </c>
      <c r="AH549" s="369">
        <v>1916.46</v>
      </c>
    </row>
    <row r="550" spans="32:34">
      <c r="AF550" s="367">
        <f t="shared" si="8"/>
        <v>40360</v>
      </c>
      <c r="AG550" s="368">
        <v>40360</v>
      </c>
      <c r="AH550" s="369">
        <v>1913.15</v>
      </c>
    </row>
    <row r="551" spans="32:34">
      <c r="AF551" s="367">
        <f t="shared" si="8"/>
        <v>40360</v>
      </c>
      <c r="AG551" s="368">
        <v>40361</v>
      </c>
      <c r="AH551" s="369">
        <v>1897.33</v>
      </c>
    </row>
    <row r="552" spans="32:34">
      <c r="AF552" s="367">
        <f t="shared" si="8"/>
        <v>40360</v>
      </c>
      <c r="AG552" s="368">
        <v>40362</v>
      </c>
      <c r="AH552" s="369">
        <v>1884.31</v>
      </c>
    </row>
    <row r="553" spans="32:34">
      <c r="AF553" s="367">
        <f t="shared" si="8"/>
        <v>40360</v>
      </c>
      <c r="AG553" s="368">
        <v>40363</v>
      </c>
      <c r="AH553" s="369">
        <v>1884.31</v>
      </c>
    </row>
    <row r="554" spans="32:34">
      <c r="AF554" s="367">
        <f t="shared" si="8"/>
        <v>40360</v>
      </c>
      <c r="AG554" s="368">
        <v>40364</v>
      </c>
      <c r="AH554" s="369">
        <v>1884.31</v>
      </c>
    </row>
    <row r="555" spans="32:34">
      <c r="AF555" s="367">
        <f t="shared" si="8"/>
        <v>40360</v>
      </c>
      <c r="AG555" s="368">
        <v>40365</v>
      </c>
      <c r="AH555" s="369">
        <v>1884.31</v>
      </c>
    </row>
    <row r="556" spans="32:34">
      <c r="AF556" s="367">
        <f t="shared" si="8"/>
        <v>40360</v>
      </c>
      <c r="AG556" s="368">
        <v>40366</v>
      </c>
      <c r="AH556" s="369">
        <v>1882.47</v>
      </c>
    </row>
    <row r="557" spans="32:34">
      <c r="AF557" s="367">
        <f t="shared" si="8"/>
        <v>40360</v>
      </c>
      <c r="AG557" s="368">
        <v>40367</v>
      </c>
      <c r="AH557" s="369">
        <v>1901.38</v>
      </c>
    </row>
    <row r="558" spans="32:34">
      <c r="AF558" s="367">
        <f t="shared" si="8"/>
        <v>40360</v>
      </c>
      <c r="AG558" s="368">
        <v>40368</v>
      </c>
      <c r="AH558" s="369">
        <v>1889.61</v>
      </c>
    </row>
    <row r="559" spans="32:34">
      <c r="AF559" s="367">
        <f t="shared" si="8"/>
        <v>40360</v>
      </c>
      <c r="AG559" s="368">
        <v>40369</v>
      </c>
      <c r="AH559" s="369">
        <v>1877.66</v>
      </c>
    </row>
    <row r="560" spans="32:34">
      <c r="AF560" s="367">
        <f t="shared" si="8"/>
        <v>40360</v>
      </c>
      <c r="AG560" s="368">
        <v>40370</v>
      </c>
      <c r="AH560" s="369">
        <v>1877.66</v>
      </c>
    </row>
    <row r="561" spans="32:34">
      <c r="AF561" s="367">
        <f t="shared" si="8"/>
        <v>40360</v>
      </c>
      <c r="AG561" s="368">
        <v>40371</v>
      </c>
      <c r="AH561" s="369">
        <v>1877.66</v>
      </c>
    </row>
    <row r="562" spans="32:34">
      <c r="AF562" s="367">
        <f t="shared" si="8"/>
        <v>40360</v>
      </c>
      <c r="AG562" s="368">
        <v>40372</v>
      </c>
      <c r="AH562" s="369">
        <v>1877.2</v>
      </c>
    </row>
    <row r="563" spans="32:34">
      <c r="AF563" s="367">
        <f t="shared" si="8"/>
        <v>40360</v>
      </c>
      <c r="AG563" s="368">
        <v>40373</v>
      </c>
      <c r="AH563" s="369">
        <v>1871.19</v>
      </c>
    </row>
    <row r="564" spans="32:34">
      <c r="AF564" s="367">
        <f t="shared" si="8"/>
        <v>40360</v>
      </c>
      <c r="AG564" s="368">
        <v>40374</v>
      </c>
      <c r="AH564" s="369">
        <v>1873.87</v>
      </c>
    </row>
    <row r="565" spans="32:34">
      <c r="AF565" s="367">
        <f t="shared" si="8"/>
        <v>40360</v>
      </c>
      <c r="AG565" s="368">
        <v>40375</v>
      </c>
      <c r="AH565" s="369">
        <v>1871.96</v>
      </c>
    </row>
    <row r="566" spans="32:34">
      <c r="AF566" s="367">
        <f t="shared" si="8"/>
        <v>40360</v>
      </c>
      <c r="AG566" s="368">
        <v>40376</v>
      </c>
      <c r="AH566" s="369">
        <v>1878.77</v>
      </c>
    </row>
    <row r="567" spans="32:34">
      <c r="AF567" s="367">
        <f t="shared" si="8"/>
        <v>40360</v>
      </c>
      <c r="AG567" s="368">
        <v>40377</v>
      </c>
      <c r="AH567" s="369">
        <v>1878.77</v>
      </c>
    </row>
    <row r="568" spans="32:34">
      <c r="AF568" s="367">
        <f t="shared" si="8"/>
        <v>40360</v>
      </c>
      <c r="AG568" s="368">
        <v>40378</v>
      </c>
      <c r="AH568" s="369">
        <v>1878.77</v>
      </c>
    </row>
    <row r="569" spans="32:34">
      <c r="AF569" s="367">
        <f t="shared" si="8"/>
        <v>40360</v>
      </c>
      <c r="AG569" s="368">
        <v>40379</v>
      </c>
      <c r="AH569" s="369">
        <v>1872.92</v>
      </c>
    </row>
    <row r="570" spans="32:34">
      <c r="AF570" s="367">
        <f t="shared" si="8"/>
        <v>40360</v>
      </c>
      <c r="AG570" s="368">
        <v>40380</v>
      </c>
      <c r="AH570" s="369">
        <v>1872.92</v>
      </c>
    </row>
    <row r="571" spans="32:34">
      <c r="AF571" s="367">
        <f t="shared" si="8"/>
        <v>40360</v>
      </c>
      <c r="AG571" s="368">
        <v>40381</v>
      </c>
      <c r="AH571" s="369">
        <v>1867.07</v>
      </c>
    </row>
    <row r="572" spans="32:34">
      <c r="AF572" s="367">
        <f t="shared" si="8"/>
        <v>40360</v>
      </c>
      <c r="AG572" s="368">
        <v>40382</v>
      </c>
      <c r="AH572" s="369">
        <v>1864.04</v>
      </c>
    </row>
    <row r="573" spans="32:34">
      <c r="AF573" s="367">
        <f t="shared" si="8"/>
        <v>40360</v>
      </c>
      <c r="AG573" s="368">
        <v>40383</v>
      </c>
      <c r="AH573" s="369">
        <v>1867.47</v>
      </c>
    </row>
    <row r="574" spans="32:34">
      <c r="AF574" s="367">
        <f t="shared" si="8"/>
        <v>40360</v>
      </c>
      <c r="AG574" s="368">
        <v>40384</v>
      </c>
      <c r="AH574" s="369">
        <v>1867.47</v>
      </c>
    </row>
    <row r="575" spans="32:34">
      <c r="AF575" s="367">
        <f t="shared" si="8"/>
        <v>40360</v>
      </c>
      <c r="AG575" s="368">
        <v>40385</v>
      </c>
      <c r="AH575" s="369">
        <v>1867.47</v>
      </c>
    </row>
    <row r="576" spans="32:34">
      <c r="AF576" s="367">
        <f t="shared" si="8"/>
        <v>40360</v>
      </c>
      <c r="AG576" s="368">
        <v>40386</v>
      </c>
      <c r="AH576" s="369">
        <v>1859.5</v>
      </c>
    </row>
    <row r="577" spans="32:34">
      <c r="AF577" s="367">
        <f t="shared" si="8"/>
        <v>40360</v>
      </c>
      <c r="AG577" s="368">
        <v>40387</v>
      </c>
      <c r="AH577" s="369">
        <v>1852.83</v>
      </c>
    </row>
    <row r="578" spans="32:34">
      <c r="AF578" s="367">
        <f t="shared" si="8"/>
        <v>40360</v>
      </c>
      <c r="AG578" s="368">
        <v>40388</v>
      </c>
      <c r="AH578" s="369">
        <v>1846.23</v>
      </c>
    </row>
    <row r="579" spans="32:34">
      <c r="AF579" s="367">
        <f t="shared" si="8"/>
        <v>40360</v>
      </c>
      <c r="AG579" s="368">
        <v>40389</v>
      </c>
      <c r="AH579" s="369">
        <v>1841.35</v>
      </c>
    </row>
    <row r="580" spans="32:34">
      <c r="AF580" s="367">
        <f t="shared" ref="AF580:AF643" si="9">+DATE(YEAR(AG580),MONTH(AG580),1)</f>
        <v>40360</v>
      </c>
      <c r="AG580" s="368">
        <v>40390</v>
      </c>
      <c r="AH580" s="369">
        <v>1842.79</v>
      </c>
    </row>
    <row r="581" spans="32:34">
      <c r="AF581" s="367">
        <f t="shared" si="9"/>
        <v>40391</v>
      </c>
      <c r="AG581" s="368">
        <v>40391</v>
      </c>
      <c r="AH581" s="369">
        <v>1842.79</v>
      </c>
    </row>
    <row r="582" spans="32:34">
      <c r="AF582" s="367">
        <f t="shared" si="9"/>
        <v>40391</v>
      </c>
      <c r="AG582" s="368">
        <v>40392</v>
      </c>
      <c r="AH582" s="369">
        <v>1842.79</v>
      </c>
    </row>
    <row r="583" spans="32:34">
      <c r="AF583" s="367">
        <f t="shared" si="9"/>
        <v>40391</v>
      </c>
      <c r="AG583" s="368">
        <v>40393</v>
      </c>
      <c r="AH583" s="369">
        <v>1832.45</v>
      </c>
    </row>
    <row r="584" spans="32:34">
      <c r="AF584" s="367">
        <f t="shared" si="9"/>
        <v>40391</v>
      </c>
      <c r="AG584" s="368">
        <v>40394</v>
      </c>
      <c r="AH584" s="369">
        <v>1834.58</v>
      </c>
    </row>
    <row r="585" spans="32:34">
      <c r="AF585" s="367">
        <f t="shared" si="9"/>
        <v>40391</v>
      </c>
      <c r="AG585" s="368">
        <v>40395</v>
      </c>
      <c r="AH585" s="369">
        <v>1824.52</v>
      </c>
    </row>
    <row r="586" spans="32:34">
      <c r="AF586" s="367">
        <f t="shared" si="9"/>
        <v>40391</v>
      </c>
      <c r="AG586" s="368">
        <v>40396</v>
      </c>
      <c r="AH586" s="369">
        <v>1818.5</v>
      </c>
    </row>
    <row r="587" spans="32:34">
      <c r="AF587" s="367">
        <f t="shared" si="9"/>
        <v>40391</v>
      </c>
      <c r="AG587" s="368">
        <v>40397</v>
      </c>
      <c r="AH587" s="369">
        <v>1815.46</v>
      </c>
    </row>
    <row r="588" spans="32:34">
      <c r="AF588" s="367">
        <f t="shared" si="9"/>
        <v>40391</v>
      </c>
      <c r="AG588" s="368">
        <v>40398</v>
      </c>
      <c r="AH588" s="369">
        <v>1815.46</v>
      </c>
    </row>
    <row r="589" spans="32:34">
      <c r="AF589" s="367">
        <f t="shared" si="9"/>
        <v>40391</v>
      </c>
      <c r="AG589" s="368">
        <v>40399</v>
      </c>
      <c r="AH589" s="369">
        <v>1815.46</v>
      </c>
    </row>
    <row r="590" spans="32:34">
      <c r="AF590" s="367">
        <f t="shared" si="9"/>
        <v>40391</v>
      </c>
      <c r="AG590" s="368">
        <v>40400</v>
      </c>
      <c r="AH590" s="369">
        <v>1808.93</v>
      </c>
    </row>
    <row r="591" spans="32:34">
      <c r="AF591" s="367">
        <f t="shared" si="9"/>
        <v>40391</v>
      </c>
      <c r="AG591" s="368">
        <v>40401</v>
      </c>
      <c r="AH591" s="369">
        <v>1810.12</v>
      </c>
    </row>
    <row r="592" spans="32:34">
      <c r="AF592" s="367">
        <f t="shared" si="9"/>
        <v>40391</v>
      </c>
      <c r="AG592" s="368">
        <v>40402</v>
      </c>
      <c r="AH592" s="369">
        <v>1807.55</v>
      </c>
    </row>
    <row r="593" spans="32:34">
      <c r="AF593" s="367">
        <f t="shared" si="9"/>
        <v>40391</v>
      </c>
      <c r="AG593" s="368">
        <v>40403</v>
      </c>
      <c r="AH593" s="369">
        <v>1812.2</v>
      </c>
    </row>
    <row r="594" spans="32:34">
      <c r="AF594" s="367">
        <f t="shared" si="9"/>
        <v>40391</v>
      </c>
      <c r="AG594" s="368">
        <v>40404</v>
      </c>
      <c r="AH594" s="369">
        <v>1835.32</v>
      </c>
    </row>
    <row r="595" spans="32:34">
      <c r="AF595" s="367">
        <f t="shared" si="9"/>
        <v>40391</v>
      </c>
      <c r="AG595" s="368">
        <v>40405</v>
      </c>
      <c r="AH595" s="369">
        <v>1835.32</v>
      </c>
    </row>
    <row r="596" spans="32:34">
      <c r="AF596" s="367">
        <f t="shared" si="9"/>
        <v>40391</v>
      </c>
      <c r="AG596" s="368">
        <v>40406</v>
      </c>
      <c r="AH596" s="369">
        <v>1835.32</v>
      </c>
    </row>
    <row r="597" spans="32:34">
      <c r="AF597" s="367">
        <f t="shared" si="9"/>
        <v>40391</v>
      </c>
      <c r="AG597" s="368">
        <v>40407</v>
      </c>
      <c r="AH597" s="369">
        <v>1835.32</v>
      </c>
    </row>
    <row r="598" spans="32:34">
      <c r="AF598" s="367">
        <f t="shared" si="9"/>
        <v>40391</v>
      </c>
      <c r="AG598" s="368">
        <v>40408</v>
      </c>
      <c r="AH598" s="369">
        <v>1810.75</v>
      </c>
    </row>
    <row r="599" spans="32:34">
      <c r="AF599" s="367">
        <f t="shared" si="9"/>
        <v>40391</v>
      </c>
      <c r="AG599" s="368">
        <v>40409</v>
      </c>
      <c r="AH599" s="369">
        <v>1808.14</v>
      </c>
    </row>
    <row r="600" spans="32:34">
      <c r="AF600" s="367">
        <f t="shared" si="9"/>
        <v>40391</v>
      </c>
      <c r="AG600" s="368">
        <v>40410</v>
      </c>
      <c r="AH600" s="369">
        <v>1819.13</v>
      </c>
    </row>
    <row r="601" spans="32:34">
      <c r="AF601" s="367">
        <f t="shared" si="9"/>
        <v>40391</v>
      </c>
      <c r="AG601" s="368">
        <v>40411</v>
      </c>
      <c r="AH601" s="369">
        <v>1820.93</v>
      </c>
    </row>
    <row r="602" spans="32:34">
      <c r="AF602" s="367">
        <f t="shared" si="9"/>
        <v>40391</v>
      </c>
      <c r="AG602" s="368">
        <v>40412</v>
      </c>
      <c r="AH602" s="369">
        <v>1820.93</v>
      </c>
    </row>
    <row r="603" spans="32:34">
      <c r="AF603" s="367">
        <f t="shared" si="9"/>
        <v>40391</v>
      </c>
      <c r="AG603" s="368">
        <v>40413</v>
      </c>
      <c r="AH603" s="369">
        <v>1820.93</v>
      </c>
    </row>
    <row r="604" spans="32:34">
      <c r="AF604" s="367">
        <f t="shared" si="9"/>
        <v>40391</v>
      </c>
      <c r="AG604" s="368">
        <v>40414</v>
      </c>
      <c r="AH604" s="369">
        <v>1806.93</v>
      </c>
    </row>
    <row r="605" spans="32:34">
      <c r="AF605" s="367">
        <f t="shared" si="9"/>
        <v>40391</v>
      </c>
      <c r="AG605" s="368">
        <v>40415</v>
      </c>
      <c r="AH605" s="369">
        <v>1818.86</v>
      </c>
    </row>
    <row r="606" spans="32:34">
      <c r="AF606" s="367">
        <f t="shared" si="9"/>
        <v>40391</v>
      </c>
      <c r="AG606" s="368">
        <v>40416</v>
      </c>
      <c r="AH606" s="369">
        <v>1820.29</v>
      </c>
    </row>
    <row r="607" spans="32:34">
      <c r="AF607" s="367">
        <f t="shared" si="9"/>
        <v>40391</v>
      </c>
      <c r="AG607" s="368">
        <v>40417</v>
      </c>
      <c r="AH607" s="369">
        <v>1811.46</v>
      </c>
    </row>
    <row r="608" spans="32:34">
      <c r="AF608" s="367">
        <f t="shared" si="9"/>
        <v>40391</v>
      </c>
      <c r="AG608" s="368">
        <v>40418</v>
      </c>
      <c r="AH608" s="369">
        <v>1817.68</v>
      </c>
    </row>
    <row r="609" spans="32:34">
      <c r="AF609" s="367">
        <f t="shared" si="9"/>
        <v>40391</v>
      </c>
      <c r="AG609" s="368">
        <v>40419</v>
      </c>
      <c r="AH609" s="369">
        <v>1817.68</v>
      </c>
    </row>
    <row r="610" spans="32:34">
      <c r="AF610" s="367">
        <f t="shared" si="9"/>
        <v>40391</v>
      </c>
      <c r="AG610" s="368">
        <v>40420</v>
      </c>
      <c r="AH610" s="369">
        <v>1817.68</v>
      </c>
    </row>
    <row r="611" spans="32:34">
      <c r="AF611" s="367">
        <f t="shared" si="9"/>
        <v>40391</v>
      </c>
      <c r="AG611" s="368">
        <v>40421</v>
      </c>
      <c r="AH611" s="369">
        <v>1823.74</v>
      </c>
    </row>
    <row r="612" spans="32:34">
      <c r="AF612" s="367">
        <f t="shared" si="9"/>
        <v>40422</v>
      </c>
      <c r="AG612" s="368">
        <v>40422</v>
      </c>
      <c r="AH612" s="369">
        <v>1826.31</v>
      </c>
    </row>
    <row r="613" spans="32:34">
      <c r="AF613" s="367">
        <f t="shared" si="9"/>
        <v>40422</v>
      </c>
      <c r="AG613" s="368">
        <v>40423</v>
      </c>
      <c r="AH613" s="369">
        <v>1815.09</v>
      </c>
    </row>
    <row r="614" spans="32:34">
      <c r="AF614" s="367">
        <f t="shared" si="9"/>
        <v>40422</v>
      </c>
      <c r="AG614" s="368">
        <v>40424</v>
      </c>
      <c r="AH614" s="369">
        <v>1810.65</v>
      </c>
    </row>
    <row r="615" spans="32:34">
      <c r="AF615" s="367">
        <f t="shared" si="9"/>
        <v>40422</v>
      </c>
      <c r="AG615" s="368">
        <v>40425</v>
      </c>
      <c r="AH615" s="369">
        <v>1807.73</v>
      </c>
    </row>
    <row r="616" spans="32:34">
      <c r="AF616" s="367">
        <f t="shared" si="9"/>
        <v>40422</v>
      </c>
      <c r="AG616" s="368">
        <v>40426</v>
      </c>
      <c r="AH616" s="369">
        <v>1807.73</v>
      </c>
    </row>
    <row r="617" spans="32:34">
      <c r="AF617" s="367">
        <f t="shared" si="9"/>
        <v>40422</v>
      </c>
      <c r="AG617" s="368">
        <v>40427</v>
      </c>
      <c r="AH617" s="369">
        <v>1807.73</v>
      </c>
    </row>
    <row r="618" spans="32:34">
      <c r="AF618" s="367">
        <f t="shared" si="9"/>
        <v>40422</v>
      </c>
      <c r="AG618" s="368">
        <v>40428</v>
      </c>
      <c r="AH618" s="369">
        <v>1807.73</v>
      </c>
    </row>
    <row r="619" spans="32:34">
      <c r="AF619" s="367">
        <f t="shared" si="9"/>
        <v>40422</v>
      </c>
      <c r="AG619" s="368">
        <v>40429</v>
      </c>
      <c r="AH619" s="369">
        <v>1808.65</v>
      </c>
    </row>
    <row r="620" spans="32:34">
      <c r="AF620" s="367">
        <f t="shared" si="9"/>
        <v>40422</v>
      </c>
      <c r="AG620" s="368">
        <v>40430</v>
      </c>
      <c r="AH620" s="369">
        <v>1803</v>
      </c>
    </row>
    <row r="621" spans="32:34">
      <c r="AF621" s="367">
        <f t="shared" si="9"/>
        <v>40422</v>
      </c>
      <c r="AG621" s="368">
        <v>40431</v>
      </c>
      <c r="AH621" s="369">
        <v>1802.54</v>
      </c>
    </row>
    <row r="622" spans="32:34">
      <c r="AF622" s="367">
        <f t="shared" si="9"/>
        <v>40422</v>
      </c>
      <c r="AG622" s="368">
        <v>40432</v>
      </c>
      <c r="AH622" s="369">
        <v>1801.04</v>
      </c>
    </row>
    <row r="623" spans="32:34">
      <c r="AF623" s="367">
        <f t="shared" si="9"/>
        <v>40422</v>
      </c>
      <c r="AG623" s="368">
        <v>40433</v>
      </c>
      <c r="AH623" s="369">
        <v>1801.04</v>
      </c>
    </row>
    <row r="624" spans="32:34">
      <c r="AF624" s="367">
        <f t="shared" si="9"/>
        <v>40422</v>
      </c>
      <c r="AG624" s="368">
        <v>40434</v>
      </c>
      <c r="AH624" s="369">
        <v>1801.04</v>
      </c>
    </row>
    <row r="625" spans="32:34">
      <c r="AF625" s="367">
        <f t="shared" si="9"/>
        <v>40422</v>
      </c>
      <c r="AG625" s="368">
        <v>40435</v>
      </c>
      <c r="AH625" s="369">
        <v>1793.28</v>
      </c>
    </row>
    <row r="626" spans="32:34">
      <c r="AF626" s="367">
        <f t="shared" si="9"/>
        <v>40422</v>
      </c>
      <c r="AG626" s="368">
        <v>40436</v>
      </c>
      <c r="AH626" s="369">
        <v>1788.05</v>
      </c>
    </row>
    <row r="627" spans="32:34">
      <c r="AF627" s="367">
        <f t="shared" si="9"/>
        <v>40422</v>
      </c>
      <c r="AG627" s="368">
        <v>40437</v>
      </c>
      <c r="AH627" s="369">
        <v>1806.78</v>
      </c>
    </row>
    <row r="628" spans="32:34">
      <c r="AF628" s="367">
        <f t="shared" si="9"/>
        <v>40422</v>
      </c>
      <c r="AG628" s="368">
        <v>40438</v>
      </c>
      <c r="AH628" s="369">
        <v>1811.55</v>
      </c>
    </row>
    <row r="629" spans="32:34">
      <c r="AF629" s="367">
        <f t="shared" si="9"/>
        <v>40422</v>
      </c>
      <c r="AG629" s="368">
        <v>40439</v>
      </c>
      <c r="AH629" s="369">
        <v>1806.76</v>
      </c>
    </row>
    <row r="630" spans="32:34">
      <c r="AF630" s="367">
        <f t="shared" si="9"/>
        <v>40422</v>
      </c>
      <c r="AG630" s="368">
        <v>40440</v>
      </c>
      <c r="AH630" s="369">
        <v>1806.76</v>
      </c>
    </row>
    <row r="631" spans="32:34">
      <c r="AF631" s="367">
        <f t="shared" si="9"/>
        <v>40422</v>
      </c>
      <c r="AG631" s="368">
        <v>40441</v>
      </c>
      <c r="AH631" s="369">
        <v>1806.76</v>
      </c>
    </row>
    <row r="632" spans="32:34">
      <c r="AF632" s="367">
        <f t="shared" si="9"/>
        <v>40422</v>
      </c>
      <c r="AG632" s="368">
        <v>40442</v>
      </c>
      <c r="AH632" s="369">
        <v>1798.73</v>
      </c>
    </row>
    <row r="633" spans="32:34">
      <c r="AF633" s="367">
        <f t="shared" si="9"/>
        <v>40422</v>
      </c>
      <c r="AG633" s="368">
        <v>40443</v>
      </c>
      <c r="AH633" s="369">
        <v>1805.31</v>
      </c>
    </row>
    <row r="634" spans="32:34">
      <c r="AF634" s="367">
        <f t="shared" si="9"/>
        <v>40422</v>
      </c>
      <c r="AG634" s="368">
        <v>40444</v>
      </c>
      <c r="AH634" s="369">
        <v>1803.71</v>
      </c>
    </row>
    <row r="635" spans="32:34">
      <c r="AF635" s="367">
        <f t="shared" si="9"/>
        <v>40422</v>
      </c>
      <c r="AG635" s="368">
        <v>40445</v>
      </c>
      <c r="AH635" s="369">
        <v>1810.72</v>
      </c>
    </row>
    <row r="636" spans="32:34">
      <c r="AF636" s="367">
        <f t="shared" si="9"/>
        <v>40422</v>
      </c>
      <c r="AG636" s="368">
        <v>40446</v>
      </c>
      <c r="AH636" s="369">
        <v>1809.46</v>
      </c>
    </row>
    <row r="637" spans="32:34">
      <c r="AF637" s="367">
        <f t="shared" si="9"/>
        <v>40422</v>
      </c>
      <c r="AG637" s="368">
        <v>40447</v>
      </c>
      <c r="AH637" s="369">
        <v>1809.46</v>
      </c>
    </row>
    <row r="638" spans="32:34">
      <c r="AF638" s="367">
        <f t="shared" si="9"/>
        <v>40422</v>
      </c>
      <c r="AG638" s="368">
        <v>40448</v>
      </c>
      <c r="AH638" s="369">
        <v>1809.46</v>
      </c>
    </row>
    <row r="639" spans="32:34">
      <c r="AF639" s="367">
        <f t="shared" si="9"/>
        <v>40422</v>
      </c>
      <c r="AG639" s="368">
        <v>40449</v>
      </c>
      <c r="AH639" s="369">
        <v>1802.15</v>
      </c>
    </row>
    <row r="640" spans="32:34">
      <c r="AF640" s="367">
        <f t="shared" si="9"/>
        <v>40422</v>
      </c>
      <c r="AG640" s="368">
        <v>40450</v>
      </c>
      <c r="AH640" s="369">
        <v>1804.06</v>
      </c>
    </row>
    <row r="641" spans="32:34">
      <c r="AF641" s="367">
        <f t="shared" si="9"/>
        <v>40422</v>
      </c>
      <c r="AG641" s="368">
        <v>40451</v>
      </c>
      <c r="AH641" s="369">
        <v>1799.89</v>
      </c>
    </row>
    <row r="642" spans="32:34">
      <c r="AF642" s="367">
        <f t="shared" si="9"/>
        <v>40452</v>
      </c>
      <c r="AG642" s="368">
        <v>40452</v>
      </c>
      <c r="AH642" s="369">
        <v>1801.01</v>
      </c>
    </row>
    <row r="643" spans="32:34">
      <c r="AF643" s="367">
        <f t="shared" si="9"/>
        <v>40452</v>
      </c>
      <c r="AG643" s="368">
        <v>40453</v>
      </c>
      <c r="AH643" s="369">
        <v>1795.93</v>
      </c>
    </row>
    <row r="644" spans="32:34">
      <c r="AF644" s="367">
        <f t="shared" ref="AF644:AF707" si="10">+DATE(YEAR(AG644),MONTH(AG644),1)</f>
        <v>40452</v>
      </c>
      <c r="AG644" s="368">
        <v>40454</v>
      </c>
      <c r="AH644" s="369">
        <v>1795.93</v>
      </c>
    </row>
    <row r="645" spans="32:34">
      <c r="AF645" s="367">
        <f t="shared" si="10"/>
        <v>40452</v>
      </c>
      <c r="AG645" s="368">
        <v>40455</v>
      </c>
      <c r="AH645" s="369">
        <v>1795.93</v>
      </c>
    </row>
    <row r="646" spans="32:34">
      <c r="AF646" s="367">
        <f t="shared" si="10"/>
        <v>40452</v>
      </c>
      <c r="AG646" s="368">
        <v>40456</v>
      </c>
      <c r="AH646" s="369">
        <v>1802.09</v>
      </c>
    </row>
    <row r="647" spans="32:34">
      <c r="AF647" s="367">
        <f t="shared" si="10"/>
        <v>40452</v>
      </c>
      <c r="AG647" s="368">
        <v>40457</v>
      </c>
      <c r="AH647" s="369">
        <v>1802.43</v>
      </c>
    </row>
    <row r="648" spans="32:34">
      <c r="AF648" s="367">
        <f t="shared" si="10"/>
        <v>40452</v>
      </c>
      <c r="AG648" s="368">
        <v>40458</v>
      </c>
      <c r="AH648" s="369">
        <v>1796.29</v>
      </c>
    </row>
    <row r="649" spans="32:34">
      <c r="AF649" s="367">
        <f t="shared" si="10"/>
        <v>40452</v>
      </c>
      <c r="AG649" s="368">
        <v>40459</v>
      </c>
      <c r="AH649" s="369">
        <v>1786.2</v>
      </c>
    </row>
    <row r="650" spans="32:34">
      <c r="AF650" s="367">
        <f t="shared" si="10"/>
        <v>40452</v>
      </c>
      <c r="AG650" s="368">
        <v>40460</v>
      </c>
      <c r="AH650" s="369">
        <v>1786.37</v>
      </c>
    </row>
    <row r="651" spans="32:34">
      <c r="AF651" s="367">
        <f t="shared" si="10"/>
        <v>40452</v>
      </c>
      <c r="AG651" s="368">
        <v>40461</v>
      </c>
      <c r="AH651" s="369">
        <v>1786.37</v>
      </c>
    </row>
    <row r="652" spans="32:34">
      <c r="AF652" s="367">
        <f t="shared" si="10"/>
        <v>40452</v>
      </c>
      <c r="AG652" s="368">
        <v>40462</v>
      </c>
      <c r="AH652" s="369">
        <v>1786.37</v>
      </c>
    </row>
    <row r="653" spans="32:34">
      <c r="AF653" s="367">
        <f t="shared" si="10"/>
        <v>40452</v>
      </c>
      <c r="AG653" s="368">
        <v>40463</v>
      </c>
      <c r="AH653" s="369">
        <v>1786.37</v>
      </c>
    </row>
    <row r="654" spans="32:34">
      <c r="AF654" s="367">
        <f t="shared" si="10"/>
        <v>40452</v>
      </c>
      <c r="AG654" s="368">
        <v>40464</v>
      </c>
      <c r="AH654" s="369">
        <v>1786.77</v>
      </c>
    </row>
    <row r="655" spans="32:34">
      <c r="AF655" s="367">
        <f t="shared" si="10"/>
        <v>40452</v>
      </c>
      <c r="AG655" s="368">
        <v>40465</v>
      </c>
      <c r="AH655" s="369">
        <v>1791.56</v>
      </c>
    </row>
    <row r="656" spans="32:34">
      <c r="AF656" s="367">
        <f t="shared" si="10"/>
        <v>40452</v>
      </c>
      <c r="AG656" s="368">
        <v>40466</v>
      </c>
      <c r="AH656" s="369">
        <v>1801.2</v>
      </c>
    </row>
    <row r="657" spans="32:34">
      <c r="AF657" s="367">
        <f t="shared" si="10"/>
        <v>40452</v>
      </c>
      <c r="AG657" s="368">
        <v>40467</v>
      </c>
      <c r="AH657" s="369">
        <v>1807.88</v>
      </c>
    </row>
    <row r="658" spans="32:34">
      <c r="AF658" s="367">
        <f t="shared" si="10"/>
        <v>40452</v>
      </c>
      <c r="AG658" s="368">
        <v>40468</v>
      </c>
      <c r="AH658" s="369">
        <v>1807.88</v>
      </c>
    </row>
    <row r="659" spans="32:34">
      <c r="AF659" s="367">
        <f t="shared" si="10"/>
        <v>40452</v>
      </c>
      <c r="AG659" s="368">
        <v>40469</v>
      </c>
      <c r="AH659" s="369">
        <v>1807.88</v>
      </c>
    </row>
    <row r="660" spans="32:34">
      <c r="AF660" s="367">
        <f t="shared" si="10"/>
        <v>40452</v>
      </c>
      <c r="AG660" s="368">
        <v>40470</v>
      </c>
      <c r="AH660" s="369">
        <v>1807.88</v>
      </c>
    </row>
    <row r="661" spans="32:34">
      <c r="AF661" s="367">
        <f t="shared" si="10"/>
        <v>40452</v>
      </c>
      <c r="AG661" s="368">
        <v>40471</v>
      </c>
      <c r="AH661" s="369">
        <v>1817.45</v>
      </c>
    </row>
    <row r="662" spans="32:34">
      <c r="AF662" s="367">
        <f t="shared" si="10"/>
        <v>40452</v>
      </c>
      <c r="AG662" s="368">
        <v>40472</v>
      </c>
      <c r="AH662" s="369">
        <v>1812.6</v>
      </c>
    </row>
    <row r="663" spans="32:34">
      <c r="AF663" s="367">
        <f t="shared" si="10"/>
        <v>40452</v>
      </c>
      <c r="AG663" s="368">
        <v>40473</v>
      </c>
      <c r="AH663" s="369">
        <v>1816.28</v>
      </c>
    </row>
    <row r="664" spans="32:34">
      <c r="AF664" s="367">
        <f t="shared" si="10"/>
        <v>40452</v>
      </c>
      <c r="AG664" s="368">
        <v>40474</v>
      </c>
      <c r="AH664" s="369">
        <v>1823.05</v>
      </c>
    </row>
    <row r="665" spans="32:34">
      <c r="AF665" s="367">
        <f t="shared" si="10"/>
        <v>40452</v>
      </c>
      <c r="AG665" s="368">
        <v>40475</v>
      </c>
      <c r="AH665" s="369">
        <v>1823.05</v>
      </c>
    </row>
    <row r="666" spans="32:34">
      <c r="AF666" s="367">
        <f t="shared" si="10"/>
        <v>40452</v>
      </c>
      <c r="AG666" s="368">
        <v>40476</v>
      </c>
      <c r="AH666" s="369">
        <v>1823.05</v>
      </c>
    </row>
    <row r="667" spans="32:34">
      <c r="AF667" s="367">
        <f t="shared" si="10"/>
        <v>40452</v>
      </c>
      <c r="AG667" s="368">
        <v>40477</v>
      </c>
      <c r="AH667" s="369">
        <v>1830.96</v>
      </c>
    </row>
    <row r="668" spans="32:34">
      <c r="AF668" s="367">
        <f t="shared" si="10"/>
        <v>40452</v>
      </c>
      <c r="AG668" s="368">
        <v>40478</v>
      </c>
      <c r="AH668" s="369">
        <v>1838.45</v>
      </c>
    </row>
    <row r="669" spans="32:34">
      <c r="AF669" s="367">
        <f t="shared" si="10"/>
        <v>40452</v>
      </c>
      <c r="AG669" s="368">
        <v>40479</v>
      </c>
      <c r="AH669" s="369">
        <v>1846.41</v>
      </c>
    </row>
    <row r="670" spans="32:34">
      <c r="AF670" s="367">
        <f t="shared" si="10"/>
        <v>40452</v>
      </c>
      <c r="AG670" s="368">
        <v>40480</v>
      </c>
      <c r="AH670" s="369">
        <v>1839.9</v>
      </c>
    </row>
    <row r="671" spans="32:34">
      <c r="AF671" s="367">
        <f t="shared" si="10"/>
        <v>40452</v>
      </c>
      <c r="AG671" s="368">
        <v>40481</v>
      </c>
      <c r="AH671" s="369">
        <v>1831.64</v>
      </c>
    </row>
    <row r="672" spans="32:34">
      <c r="AF672" s="367">
        <f t="shared" si="10"/>
        <v>40452</v>
      </c>
      <c r="AG672" s="368">
        <v>40482</v>
      </c>
      <c r="AH672" s="369">
        <v>1831.64</v>
      </c>
    </row>
    <row r="673" spans="32:34">
      <c r="AF673" s="367">
        <f t="shared" si="10"/>
        <v>40483</v>
      </c>
      <c r="AG673" s="368">
        <v>40483</v>
      </c>
      <c r="AH673" s="369">
        <v>1831.64</v>
      </c>
    </row>
    <row r="674" spans="32:34">
      <c r="AF674" s="367">
        <f t="shared" si="10"/>
        <v>40483</v>
      </c>
      <c r="AG674" s="368">
        <v>40484</v>
      </c>
      <c r="AH674" s="369">
        <v>1831.64</v>
      </c>
    </row>
    <row r="675" spans="32:34">
      <c r="AF675" s="367">
        <f t="shared" si="10"/>
        <v>40483</v>
      </c>
      <c r="AG675" s="368">
        <v>40485</v>
      </c>
      <c r="AH675" s="369">
        <v>1845.51</v>
      </c>
    </row>
    <row r="676" spans="32:34">
      <c r="AF676" s="367">
        <f t="shared" si="10"/>
        <v>40483</v>
      </c>
      <c r="AG676" s="368">
        <v>40486</v>
      </c>
      <c r="AH676" s="369">
        <v>1840.51</v>
      </c>
    </row>
    <row r="677" spans="32:34">
      <c r="AF677" s="367">
        <f t="shared" si="10"/>
        <v>40483</v>
      </c>
      <c r="AG677" s="368">
        <v>40487</v>
      </c>
      <c r="AH677" s="369">
        <v>1821.05</v>
      </c>
    </row>
    <row r="678" spans="32:34">
      <c r="AF678" s="367">
        <f t="shared" si="10"/>
        <v>40483</v>
      </c>
      <c r="AG678" s="368">
        <v>40488</v>
      </c>
      <c r="AH678" s="369">
        <v>1817.7</v>
      </c>
    </row>
    <row r="679" spans="32:34">
      <c r="AF679" s="367">
        <f t="shared" si="10"/>
        <v>40483</v>
      </c>
      <c r="AG679" s="368">
        <v>40489</v>
      </c>
      <c r="AH679" s="369">
        <v>1817.7</v>
      </c>
    </row>
    <row r="680" spans="32:34">
      <c r="AF680" s="367">
        <f t="shared" si="10"/>
        <v>40483</v>
      </c>
      <c r="AG680" s="368">
        <v>40490</v>
      </c>
      <c r="AH680" s="369">
        <v>1817.7</v>
      </c>
    </row>
    <row r="681" spans="32:34">
      <c r="AF681" s="367">
        <f t="shared" si="10"/>
        <v>40483</v>
      </c>
      <c r="AG681" s="368">
        <v>40491</v>
      </c>
      <c r="AH681" s="369">
        <v>1828.28</v>
      </c>
    </row>
    <row r="682" spans="32:34">
      <c r="AF682" s="367">
        <f t="shared" si="10"/>
        <v>40483</v>
      </c>
      <c r="AG682" s="368">
        <v>40492</v>
      </c>
      <c r="AH682" s="369">
        <v>1836.27</v>
      </c>
    </row>
    <row r="683" spans="32:34">
      <c r="AF683" s="367">
        <f t="shared" si="10"/>
        <v>40483</v>
      </c>
      <c r="AG683" s="368">
        <v>40493</v>
      </c>
      <c r="AH683" s="369">
        <v>1858.01</v>
      </c>
    </row>
    <row r="684" spans="32:34">
      <c r="AF684" s="367">
        <f t="shared" si="10"/>
        <v>40483</v>
      </c>
      <c r="AG684" s="368">
        <v>40494</v>
      </c>
      <c r="AH684" s="369">
        <v>1858.01</v>
      </c>
    </row>
    <row r="685" spans="32:34">
      <c r="AF685" s="367">
        <f t="shared" si="10"/>
        <v>40483</v>
      </c>
      <c r="AG685" s="368">
        <v>40495</v>
      </c>
      <c r="AH685" s="369">
        <v>1861.74</v>
      </c>
    </row>
    <row r="686" spans="32:34">
      <c r="AF686" s="367">
        <f t="shared" si="10"/>
        <v>40483</v>
      </c>
      <c r="AG686" s="368">
        <v>40496</v>
      </c>
      <c r="AH686" s="369">
        <v>1861.74</v>
      </c>
    </row>
    <row r="687" spans="32:34">
      <c r="AF687" s="367">
        <f t="shared" si="10"/>
        <v>40483</v>
      </c>
      <c r="AG687" s="368">
        <v>40497</v>
      </c>
      <c r="AH687" s="369">
        <v>1861.74</v>
      </c>
    </row>
    <row r="688" spans="32:34">
      <c r="AF688" s="367">
        <f t="shared" si="10"/>
        <v>40483</v>
      </c>
      <c r="AG688" s="368">
        <v>40498</v>
      </c>
      <c r="AH688" s="369">
        <v>1861.74</v>
      </c>
    </row>
    <row r="689" spans="32:34">
      <c r="AF689" s="367">
        <f t="shared" si="10"/>
        <v>40483</v>
      </c>
      <c r="AG689" s="368">
        <v>40499</v>
      </c>
      <c r="AH689" s="369">
        <v>1880.98</v>
      </c>
    </row>
    <row r="690" spans="32:34">
      <c r="AF690" s="367">
        <f t="shared" si="10"/>
        <v>40483</v>
      </c>
      <c r="AG690" s="368">
        <v>40500</v>
      </c>
      <c r="AH690" s="369">
        <v>1875.78</v>
      </c>
    </row>
    <row r="691" spans="32:34">
      <c r="AF691" s="367">
        <f t="shared" si="10"/>
        <v>40483</v>
      </c>
      <c r="AG691" s="368">
        <v>40501</v>
      </c>
      <c r="AH691" s="369">
        <v>1865.82</v>
      </c>
    </row>
    <row r="692" spans="32:34">
      <c r="AF692" s="367">
        <f t="shared" si="10"/>
        <v>40483</v>
      </c>
      <c r="AG692" s="368">
        <v>40502</v>
      </c>
      <c r="AH692" s="369">
        <v>1875.39</v>
      </c>
    </row>
    <row r="693" spans="32:34">
      <c r="AF693" s="367">
        <f t="shared" si="10"/>
        <v>40483</v>
      </c>
      <c r="AG693" s="368">
        <v>40503</v>
      </c>
      <c r="AH693" s="369">
        <v>1875.39</v>
      </c>
    </row>
    <row r="694" spans="32:34">
      <c r="AF694" s="367">
        <f t="shared" si="10"/>
        <v>40483</v>
      </c>
      <c r="AG694" s="368">
        <v>40504</v>
      </c>
      <c r="AH694" s="369">
        <v>1875.39</v>
      </c>
    </row>
    <row r="695" spans="32:34">
      <c r="AF695" s="367">
        <f t="shared" si="10"/>
        <v>40483</v>
      </c>
      <c r="AG695" s="368">
        <v>40505</v>
      </c>
      <c r="AH695" s="369">
        <v>1882</v>
      </c>
    </row>
    <row r="696" spans="32:34">
      <c r="AF696" s="367">
        <f t="shared" si="10"/>
        <v>40483</v>
      </c>
      <c r="AG696" s="368">
        <v>40506</v>
      </c>
      <c r="AH696" s="369">
        <v>1892.84</v>
      </c>
    </row>
    <row r="697" spans="32:34">
      <c r="AF697" s="367">
        <f t="shared" si="10"/>
        <v>40483</v>
      </c>
      <c r="AG697" s="368">
        <v>40507</v>
      </c>
      <c r="AH697" s="369">
        <v>1889.11</v>
      </c>
    </row>
    <row r="698" spans="32:34">
      <c r="AF698" s="367">
        <f t="shared" si="10"/>
        <v>40483</v>
      </c>
      <c r="AG698" s="368">
        <v>40508</v>
      </c>
      <c r="AH698" s="369">
        <v>1889.11</v>
      </c>
    </row>
    <row r="699" spans="32:34">
      <c r="AF699" s="367">
        <f t="shared" si="10"/>
        <v>40483</v>
      </c>
      <c r="AG699" s="368">
        <v>40509</v>
      </c>
      <c r="AH699" s="369">
        <v>1906.69</v>
      </c>
    </row>
    <row r="700" spans="32:34">
      <c r="AF700" s="367">
        <f t="shared" si="10"/>
        <v>40483</v>
      </c>
      <c r="AG700" s="368">
        <v>40510</v>
      </c>
      <c r="AH700" s="369">
        <v>1906.69</v>
      </c>
    </row>
    <row r="701" spans="32:34">
      <c r="AF701" s="367">
        <f t="shared" si="10"/>
        <v>40483</v>
      </c>
      <c r="AG701" s="368">
        <v>40511</v>
      </c>
      <c r="AH701" s="369">
        <v>1906.69</v>
      </c>
    </row>
    <row r="702" spans="32:34">
      <c r="AF702" s="367">
        <f t="shared" si="10"/>
        <v>40483</v>
      </c>
      <c r="AG702" s="368">
        <v>40512</v>
      </c>
      <c r="AH702" s="369">
        <v>1916.96</v>
      </c>
    </row>
    <row r="703" spans="32:34">
      <c r="AF703" s="367">
        <f t="shared" si="10"/>
        <v>40513</v>
      </c>
      <c r="AG703" s="368">
        <v>40513</v>
      </c>
      <c r="AH703" s="369">
        <v>1932.63</v>
      </c>
    </row>
    <row r="704" spans="32:34">
      <c r="AF704" s="367">
        <f t="shared" si="10"/>
        <v>40513</v>
      </c>
      <c r="AG704" s="368">
        <v>40514</v>
      </c>
      <c r="AH704" s="369">
        <v>1933.58</v>
      </c>
    </row>
    <row r="705" spans="32:34">
      <c r="AF705" s="367">
        <f t="shared" si="10"/>
        <v>40513</v>
      </c>
      <c r="AG705" s="368">
        <v>40515</v>
      </c>
      <c r="AH705" s="369">
        <v>1920</v>
      </c>
    </row>
    <row r="706" spans="32:34">
      <c r="AF706" s="367">
        <f t="shared" si="10"/>
        <v>40513</v>
      </c>
      <c r="AG706" s="368">
        <v>40516</v>
      </c>
      <c r="AH706" s="369">
        <v>1896.73</v>
      </c>
    </row>
    <row r="707" spans="32:34">
      <c r="AF707" s="367">
        <f t="shared" si="10"/>
        <v>40513</v>
      </c>
      <c r="AG707" s="368">
        <v>40517</v>
      </c>
      <c r="AH707" s="369">
        <v>1896.73</v>
      </c>
    </row>
    <row r="708" spans="32:34">
      <c r="AF708" s="367">
        <f t="shared" ref="AF708:AF771" si="11">+DATE(YEAR(AG708),MONTH(AG708),1)</f>
        <v>40513</v>
      </c>
      <c r="AG708" s="368">
        <v>40518</v>
      </c>
      <c r="AH708" s="369">
        <v>1896.73</v>
      </c>
    </row>
    <row r="709" spans="32:34">
      <c r="AF709" s="367">
        <f t="shared" si="11"/>
        <v>40513</v>
      </c>
      <c r="AG709" s="368">
        <v>40519</v>
      </c>
      <c r="AH709" s="369">
        <v>1889.75</v>
      </c>
    </row>
    <row r="710" spans="32:34">
      <c r="AF710" s="367">
        <f t="shared" si="11"/>
        <v>40513</v>
      </c>
      <c r="AG710" s="368">
        <v>40520</v>
      </c>
      <c r="AH710" s="369">
        <v>1880.82</v>
      </c>
    </row>
    <row r="711" spans="32:34">
      <c r="AF711" s="367">
        <f t="shared" si="11"/>
        <v>40513</v>
      </c>
      <c r="AG711" s="368">
        <v>40521</v>
      </c>
      <c r="AH711" s="369">
        <v>1880.82</v>
      </c>
    </row>
    <row r="712" spans="32:34">
      <c r="AF712" s="367">
        <f t="shared" si="11"/>
        <v>40513</v>
      </c>
      <c r="AG712" s="368">
        <v>40522</v>
      </c>
      <c r="AH712" s="369">
        <v>1902.72</v>
      </c>
    </row>
    <row r="713" spans="32:34">
      <c r="AF713" s="367">
        <f t="shared" si="11"/>
        <v>40513</v>
      </c>
      <c r="AG713" s="368">
        <v>40523</v>
      </c>
      <c r="AH713" s="369">
        <v>1911.87</v>
      </c>
    </row>
    <row r="714" spans="32:34">
      <c r="AF714" s="367">
        <f t="shared" si="11"/>
        <v>40513</v>
      </c>
      <c r="AG714" s="368">
        <v>40524</v>
      </c>
      <c r="AH714" s="369">
        <v>1911.87</v>
      </c>
    </row>
    <row r="715" spans="32:34">
      <c r="AF715" s="367">
        <f t="shared" si="11"/>
        <v>40513</v>
      </c>
      <c r="AG715" s="368">
        <v>40525</v>
      </c>
      <c r="AH715" s="369">
        <v>1911.87</v>
      </c>
    </row>
    <row r="716" spans="32:34">
      <c r="AF716" s="367">
        <f t="shared" si="11"/>
        <v>40513</v>
      </c>
      <c r="AG716" s="368">
        <v>40526</v>
      </c>
      <c r="AH716" s="369">
        <v>1894.12</v>
      </c>
    </row>
    <row r="717" spans="32:34">
      <c r="AF717" s="367">
        <f t="shared" si="11"/>
        <v>40513</v>
      </c>
      <c r="AG717" s="368">
        <v>40527</v>
      </c>
      <c r="AH717" s="369">
        <v>1899.89</v>
      </c>
    </row>
    <row r="718" spans="32:34">
      <c r="AF718" s="367">
        <f t="shared" si="11"/>
        <v>40513</v>
      </c>
      <c r="AG718" s="368">
        <v>40528</v>
      </c>
      <c r="AH718" s="369">
        <v>1905.84</v>
      </c>
    </row>
    <row r="719" spans="32:34">
      <c r="AF719" s="367">
        <f t="shared" si="11"/>
        <v>40513</v>
      </c>
      <c r="AG719" s="368">
        <v>40529</v>
      </c>
      <c r="AH719" s="369">
        <v>1916.09</v>
      </c>
    </row>
    <row r="720" spans="32:34">
      <c r="AF720" s="367">
        <f t="shared" si="11"/>
        <v>40513</v>
      </c>
      <c r="AG720" s="368">
        <v>40530</v>
      </c>
      <c r="AH720" s="369">
        <v>1923.13</v>
      </c>
    </row>
    <row r="721" spans="32:34">
      <c r="AF721" s="367">
        <f t="shared" si="11"/>
        <v>40513</v>
      </c>
      <c r="AG721" s="368">
        <v>40531</v>
      </c>
      <c r="AH721" s="369">
        <v>1923.13</v>
      </c>
    </row>
    <row r="722" spans="32:34">
      <c r="AF722" s="367">
        <f t="shared" si="11"/>
        <v>40513</v>
      </c>
      <c r="AG722" s="368">
        <v>40532</v>
      </c>
      <c r="AH722" s="369">
        <v>1923.13</v>
      </c>
    </row>
    <row r="723" spans="32:34">
      <c r="AF723" s="367">
        <f t="shared" si="11"/>
        <v>40513</v>
      </c>
      <c r="AG723" s="368">
        <v>40533</v>
      </c>
      <c r="AH723" s="369">
        <v>1928.71</v>
      </c>
    </row>
    <row r="724" spans="32:34">
      <c r="AF724" s="367">
        <f t="shared" si="11"/>
        <v>40513</v>
      </c>
      <c r="AG724" s="368">
        <v>40534</v>
      </c>
      <c r="AH724" s="369">
        <v>1934.96</v>
      </c>
    </row>
    <row r="725" spans="32:34">
      <c r="AF725" s="367">
        <f t="shared" si="11"/>
        <v>40513</v>
      </c>
      <c r="AG725" s="368">
        <v>40535</v>
      </c>
      <c r="AH725" s="369">
        <v>1934.44</v>
      </c>
    </row>
    <row r="726" spans="32:34">
      <c r="AF726" s="367">
        <f t="shared" si="11"/>
        <v>40513</v>
      </c>
      <c r="AG726" s="368">
        <v>40536</v>
      </c>
      <c r="AH726" s="369">
        <v>1928.33</v>
      </c>
    </row>
    <row r="727" spans="32:34">
      <c r="AF727" s="367">
        <f t="shared" si="11"/>
        <v>40513</v>
      </c>
      <c r="AG727" s="368">
        <v>40537</v>
      </c>
      <c r="AH727" s="369">
        <v>1939.54</v>
      </c>
    </row>
    <row r="728" spans="32:34">
      <c r="AF728" s="367">
        <f t="shared" si="11"/>
        <v>40513</v>
      </c>
      <c r="AG728" s="368">
        <v>40538</v>
      </c>
      <c r="AH728" s="369">
        <v>1939.54</v>
      </c>
    </row>
    <row r="729" spans="32:34">
      <c r="AF729" s="367">
        <f t="shared" si="11"/>
        <v>40513</v>
      </c>
      <c r="AG729" s="368">
        <v>40539</v>
      </c>
      <c r="AH729" s="369">
        <v>1939.54</v>
      </c>
    </row>
    <row r="730" spans="32:34">
      <c r="AF730" s="367">
        <f t="shared" si="11"/>
        <v>40513</v>
      </c>
      <c r="AG730" s="368">
        <v>40540</v>
      </c>
      <c r="AH730" s="369">
        <v>1964.57</v>
      </c>
    </row>
    <row r="731" spans="32:34">
      <c r="AF731" s="367">
        <f t="shared" si="11"/>
        <v>40513</v>
      </c>
      <c r="AG731" s="368">
        <v>40541</v>
      </c>
      <c r="AH731" s="369">
        <v>2027.33</v>
      </c>
    </row>
    <row r="732" spans="32:34">
      <c r="AF732" s="367">
        <f t="shared" si="11"/>
        <v>40513</v>
      </c>
      <c r="AG732" s="368">
        <v>40542</v>
      </c>
      <c r="AH732" s="369">
        <v>1989.88</v>
      </c>
    </row>
    <row r="733" spans="32:34">
      <c r="AF733" s="367">
        <f t="shared" si="11"/>
        <v>40513</v>
      </c>
      <c r="AG733" s="368">
        <v>40543</v>
      </c>
      <c r="AH733" s="369">
        <v>1913.98</v>
      </c>
    </row>
    <row r="734" spans="32:34">
      <c r="AF734" s="367">
        <f t="shared" si="11"/>
        <v>40544</v>
      </c>
      <c r="AG734" s="368">
        <v>40544</v>
      </c>
      <c r="AH734" s="369">
        <v>1913.98</v>
      </c>
    </row>
    <row r="735" spans="32:34">
      <c r="AF735" s="367">
        <f t="shared" si="11"/>
        <v>40544</v>
      </c>
      <c r="AG735" s="368">
        <v>40545</v>
      </c>
      <c r="AH735" s="369">
        <v>1913.98</v>
      </c>
    </row>
    <row r="736" spans="32:34">
      <c r="AF736" s="367">
        <f t="shared" si="11"/>
        <v>40544</v>
      </c>
      <c r="AG736" s="368">
        <v>40546</v>
      </c>
      <c r="AH736" s="369">
        <v>1913.98</v>
      </c>
    </row>
    <row r="737" spans="32:34">
      <c r="AF737" s="367">
        <f t="shared" si="11"/>
        <v>40544</v>
      </c>
      <c r="AG737" s="368">
        <v>40547</v>
      </c>
      <c r="AH737" s="369">
        <v>1902.71</v>
      </c>
    </row>
    <row r="738" spans="32:34">
      <c r="AF738" s="367">
        <f t="shared" si="11"/>
        <v>40544</v>
      </c>
      <c r="AG738" s="368">
        <v>40548</v>
      </c>
      <c r="AH738" s="369">
        <v>1899.86</v>
      </c>
    </row>
    <row r="739" spans="32:34">
      <c r="AF739" s="367">
        <f t="shared" si="11"/>
        <v>40544</v>
      </c>
      <c r="AG739" s="368">
        <v>40549</v>
      </c>
      <c r="AH739" s="369">
        <v>1894.82</v>
      </c>
    </row>
    <row r="740" spans="32:34">
      <c r="AF740" s="367">
        <f t="shared" si="11"/>
        <v>40544</v>
      </c>
      <c r="AG740" s="368">
        <v>40550</v>
      </c>
      <c r="AH740" s="369">
        <v>1869.94</v>
      </c>
    </row>
    <row r="741" spans="32:34">
      <c r="AF741" s="367">
        <f t="shared" si="11"/>
        <v>40544</v>
      </c>
      <c r="AG741" s="368">
        <v>40551</v>
      </c>
      <c r="AH741" s="369">
        <v>1859.97</v>
      </c>
    </row>
    <row r="742" spans="32:34">
      <c r="AF742" s="367">
        <f t="shared" si="11"/>
        <v>40544</v>
      </c>
      <c r="AG742" s="368">
        <v>40552</v>
      </c>
      <c r="AH742" s="369">
        <v>1859.97</v>
      </c>
    </row>
    <row r="743" spans="32:34">
      <c r="AF743" s="367">
        <f t="shared" si="11"/>
        <v>40544</v>
      </c>
      <c r="AG743" s="368">
        <v>40553</v>
      </c>
      <c r="AH743" s="369">
        <v>1859.97</v>
      </c>
    </row>
    <row r="744" spans="32:34">
      <c r="AF744" s="367">
        <f t="shared" si="11"/>
        <v>40544</v>
      </c>
      <c r="AG744" s="368">
        <v>40554</v>
      </c>
      <c r="AH744" s="369">
        <v>1859.97</v>
      </c>
    </row>
    <row r="745" spans="32:34">
      <c r="AF745" s="367">
        <f t="shared" si="11"/>
        <v>40544</v>
      </c>
      <c r="AG745" s="368">
        <v>40555</v>
      </c>
      <c r="AH745" s="369">
        <v>1856.79</v>
      </c>
    </row>
    <row r="746" spans="32:34">
      <c r="AF746" s="367">
        <f t="shared" si="11"/>
        <v>40544</v>
      </c>
      <c r="AG746" s="368">
        <v>40556</v>
      </c>
      <c r="AH746" s="369">
        <v>1855.46</v>
      </c>
    </row>
    <row r="747" spans="32:34">
      <c r="AF747" s="367">
        <f t="shared" si="11"/>
        <v>40544</v>
      </c>
      <c r="AG747" s="368">
        <v>40557</v>
      </c>
      <c r="AH747" s="369">
        <v>1864.36</v>
      </c>
    </row>
    <row r="748" spans="32:34">
      <c r="AF748" s="367">
        <f t="shared" si="11"/>
        <v>40544</v>
      </c>
      <c r="AG748" s="368">
        <v>40558</v>
      </c>
      <c r="AH748" s="369">
        <v>1872.46</v>
      </c>
    </row>
    <row r="749" spans="32:34">
      <c r="AF749" s="367">
        <f t="shared" si="11"/>
        <v>40544</v>
      </c>
      <c r="AG749" s="368">
        <v>40559</v>
      </c>
      <c r="AH749" s="369">
        <v>1872.46</v>
      </c>
    </row>
    <row r="750" spans="32:34">
      <c r="AF750" s="367">
        <f t="shared" si="11"/>
        <v>40544</v>
      </c>
      <c r="AG750" s="368">
        <v>40560</v>
      </c>
      <c r="AH750" s="369">
        <v>1872.46</v>
      </c>
    </row>
    <row r="751" spans="32:34">
      <c r="AF751" s="367">
        <f t="shared" si="11"/>
        <v>40544</v>
      </c>
      <c r="AG751" s="368">
        <v>40561</v>
      </c>
      <c r="AH751" s="369">
        <v>1872.46</v>
      </c>
    </row>
    <row r="752" spans="32:34">
      <c r="AF752" s="367">
        <f t="shared" si="11"/>
        <v>40544</v>
      </c>
      <c r="AG752" s="368">
        <v>40562</v>
      </c>
      <c r="AH752" s="369">
        <v>1864.64</v>
      </c>
    </row>
    <row r="753" spans="32:34">
      <c r="AF753" s="367">
        <f t="shared" si="11"/>
        <v>40544</v>
      </c>
      <c r="AG753" s="368">
        <v>40563</v>
      </c>
      <c r="AH753" s="369">
        <v>1841.9</v>
      </c>
    </row>
    <row r="754" spans="32:34">
      <c r="AF754" s="367">
        <f t="shared" si="11"/>
        <v>40544</v>
      </c>
      <c r="AG754" s="368">
        <v>40564</v>
      </c>
      <c r="AH754" s="369">
        <v>1849.59</v>
      </c>
    </row>
    <row r="755" spans="32:34">
      <c r="AF755" s="367">
        <f t="shared" si="11"/>
        <v>40544</v>
      </c>
      <c r="AG755" s="368">
        <v>40565</v>
      </c>
      <c r="AH755" s="369">
        <v>1838.94</v>
      </c>
    </row>
    <row r="756" spans="32:34">
      <c r="AF756" s="367">
        <f t="shared" si="11"/>
        <v>40544</v>
      </c>
      <c r="AG756" s="368">
        <v>40566</v>
      </c>
      <c r="AH756" s="369">
        <v>1838.94</v>
      </c>
    </row>
    <row r="757" spans="32:34">
      <c r="AF757" s="367">
        <f t="shared" si="11"/>
        <v>40544</v>
      </c>
      <c r="AG757" s="368">
        <v>40567</v>
      </c>
      <c r="AH757" s="369">
        <v>1838.94</v>
      </c>
    </row>
    <row r="758" spans="32:34">
      <c r="AF758" s="367">
        <f t="shared" si="11"/>
        <v>40544</v>
      </c>
      <c r="AG758" s="368">
        <v>40568</v>
      </c>
      <c r="AH758" s="369">
        <v>1842.43</v>
      </c>
    </row>
    <row r="759" spans="32:34">
      <c r="AF759" s="367">
        <f t="shared" si="11"/>
        <v>40544</v>
      </c>
      <c r="AG759" s="368">
        <v>40569</v>
      </c>
      <c r="AH759" s="369">
        <v>1853.71</v>
      </c>
    </row>
    <row r="760" spans="32:34">
      <c r="AF760" s="367">
        <f t="shared" si="11"/>
        <v>40544</v>
      </c>
      <c r="AG760" s="368">
        <v>40570</v>
      </c>
      <c r="AH760" s="369">
        <v>1862.05</v>
      </c>
    </row>
    <row r="761" spans="32:34">
      <c r="AF761" s="367">
        <f t="shared" si="11"/>
        <v>40544</v>
      </c>
      <c r="AG761" s="368">
        <v>40571</v>
      </c>
      <c r="AH761" s="369">
        <v>1858.7</v>
      </c>
    </row>
    <row r="762" spans="32:34">
      <c r="AF762" s="367">
        <f t="shared" si="11"/>
        <v>40544</v>
      </c>
      <c r="AG762" s="368">
        <v>40572</v>
      </c>
      <c r="AH762" s="369">
        <v>1857.98</v>
      </c>
    </row>
    <row r="763" spans="32:34">
      <c r="AF763" s="367">
        <f t="shared" si="11"/>
        <v>40544</v>
      </c>
      <c r="AG763" s="368">
        <v>40573</v>
      </c>
      <c r="AH763" s="369">
        <v>1857.98</v>
      </c>
    </row>
    <row r="764" spans="32:34">
      <c r="AF764" s="367">
        <f t="shared" si="11"/>
        <v>40544</v>
      </c>
      <c r="AG764" s="368">
        <v>40574</v>
      </c>
      <c r="AH764" s="369">
        <v>1857.98</v>
      </c>
    </row>
    <row r="765" spans="32:34">
      <c r="AF765" s="367">
        <f t="shared" si="11"/>
        <v>40575</v>
      </c>
      <c r="AG765" s="368">
        <v>40575</v>
      </c>
      <c r="AH765" s="369">
        <v>1867.82</v>
      </c>
    </row>
    <row r="766" spans="32:34">
      <c r="AF766" s="367">
        <f t="shared" si="11"/>
        <v>40575</v>
      </c>
      <c r="AG766" s="368">
        <v>40576</v>
      </c>
      <c r="AH766" s="369">
        <v>1853.33</v>
      </c>
    </row>
    <row r="767" spans="32:34">
      <c r="AF767" s="367">
        <f t="shared" si="11"/>
        <v>40575</v>
      </c>
      <c r="AG767" s="368">
        <v>40577</v>
      </c>
      <c r="AH767" s="369">
        <v>1852.67</v>
      </c>
    </row>
    <row r="768" spans="32:34">
      <c r="AF768" s="367">
        <f t="shared" si="11"/>
        <v>40575</v>
      </c>
      <c r="AG768" s="368">
        <v>40578</v>
      </c>
      <c r="AH768" s="369">
        <v>1863.03</v>
      </c>
    </row>
    <row r="769" spans="32:34">
      <c r="AF769" s="367">
        <f t="shared" si="11"/>
        <v>40575</v>
      </c>
      <c r="AG769" s="368">
        <v>40579</v>
      </c>
      <c r="AH769" s="369">
        <v>1872.01</v>
      </c>
    </row>
    <row r="770" spans="32:34">
      <c r="AF770" s="367">
        <f t="shared" si="11"/>
        <v>40575</v>
      </c>
      <c r="AG770" s="368">
        <v>40580</v>
      </c>
      <c r="AH770" s="369">
        <v>1872.01</v>
      </c>
    </row>
    <row r="771" spans="32:34">
      <c r="AF771" s="367">
        <f t="shared" si="11"/>
        <v>40575</v>
      </c>
      <c r="AG771" s="368">
        <v>40581</v>
      </c>
      <c r="AH771" s="369">
        <v>1872.01</v>
      </c>
    </row>
    <row r="772" spans="32:34">
      <c r="AF772" s="367">
        <f t="shared" ref="AF772:AF835" si="12">+DATE(YEAR(AG772),MONTH(AG772),1)</f>
        <v>40575</v>
      </c>
      <c r="AG772" s="368">
        <v>40582</v>
      </c>
      <c r="AH772" s="369">
        <v>1871.81</v>
      </c>
    </row>
    <row r="773" spans="32:34">
      <c r="AF773" s="367">
        <f t="shared" si="12"/>
        <v>40575</v>
      </c>
      <c r="AG773" s="368">
        <v>40583</v>
      </c>
      <c r="AH773" s="369">
        <v>1875.32</v>
      </c>
    </row>
    <row r="774" spans="32:34">
      <c r="AF774" s="367">
        <f t="shared" si="12"/>
        <v>40575</v>
      </c>
      <c r="AG774" s="368">
        <v>40584</v>
      </c>
      <c r="AH774" s="369">
        <v>1891.54</v>
      </c>
    </row>
    <row r="775" spans="32:34">
      <c r="AF775" s="367">
        <f t="shared" si="12"/>
        <v>40575</v>
      </c>
      <c r="AG775" s="368">
        <v>40585</v>
      </c>
      <c r="AH775" s="369">
        <v>1889.1</v>
      </c>
    </row>
    <row r="776" spans="32:34">
      <c r="AF776" s="367">
        <f t="shared" si="12"/>
        <v>40575</v>
      </c>
      <c r="AG776" s="368">
        <v>40586</v>
      </c>
      <c r="AH776" s="369">
        <v>1880.37</v>
      </c>
    </row>
    <row r="777" spans="32:34">
      <c r="AF777" s="367">
        <f t="shared" si="12"/>
        <v>40575</v>
      </c>
      <c r="AG777" s="368">
        <v>40587</v>
      </c>
      <c r="AH777" s="369">
        <v>1880.37</v>
      </c>
    </row>
    <row r="778" spans="32:34">
      <c r="AF778" s="367">
        <f t="shared" si="12"/>
        <v>40575</v>
      </c>
      <c r="AG778" s="368">
        <v>40588</v>
      </c>
      <c r="AH778" s="369">
        <v>1880.37</v>
      </c>
    </row>
    <row r="779" spans="32:34">
      <c r="AF779" s="367">
        <f t="shared" si="12"/>
        <v>40575</v>
      </c>
      <c r="AG779" s="368">
        <v>40589</v>
      </c>
      <c r="AH779" s="369">
        <v>1891.84</v>
      </c>
    </row>
    <row r="780" spans="32:34">
      <c r="AF780" s="367">
        <f t="shared" si="12"/>
        <v>40575</v>
      </c>
      <c r="AG780" s="368">
        <v>40590</v>
      </c>
      <c r="AH780" s="369">
        <v>1902.01</v>
      </c>
    </row>
    <row r="781" spans="32:34">
      <c r="AF781" s="367">
        <f t="shared" si="12"/>
        <v>40575</v>
      </c>
      <c r="AG781" s="368">
        <v>40591</v>
      </c>
      <c r="AH781" s="369">
        <v>1907.69</v>
      </c>
    </row>
    <row r="782" spans="32:34">
      <c r="AF782" s="367">
        <f t="shared" si="12"/>
        <v>40575</v>
      </c>
      <c r="AG782" s="368">
        <v>40592</v>
      </c>
      <c r="AH782" s="369">
        <v>1893.46</v>
      </c>
    </row>
    <row r="783" spans="32:34">
      <c r="AF783" s="367">
        <f t="shared" si="12"/>
        <v>40575</v>
      </c>
      <c r="AG783" s="368">
        <v>40593</v>
      </c>
      <c r="AH783" s="369">
        <v>1879.15</v>
      </c>
    </row>
    <row r="784" spans="32:34">
      <c r="AF784" s="367">
        <f t="shared" si="12"/>
        <v>40575</v>
      </c>
      <c r="AG784" s="368">
        <v>40594</v>
      </c>
      <c r="AH784" s="369">
        <v>1879.15</v>
      </c>
    </row>
    <row r="785" spans="32:34">
      <c r="AF785" s="367">
        <f t="shared" si="12"/>
        <v>40575</v>
      </c>
      <c r="AG785" s="368">
        <v>40595</v>
      </c>
      <c r="AH785" s="369">
        <v>1879.15</v>
      </c>
    </row>
    <row r="786" spans="32:34">
      <c r="AF786" s="367">
        <f t="shared" si="12"/>
        <v>40575</v>
      </c>
      <c r="AG786" s="368">
        <v>40596</v>
      </c>
      <c r="AH786" s="369">
        <v>1879.15</v>
      </c>
    </row>
    <row r="787" spans="32:34">
      <c r="AF787" s="367">
        <f t="shared" si="12"/>
        <v>40575</v>
      </c>
      <c r="AG787" s="368">
        <v>40597</v>
      </c>
      <c r="AH787" s="369">
        <v>1889.69</v>
      </c>
    </row>
    <row r="788" spans="32:34">
      <c r="AF788" s="367">
        <f t="shared" si="12"/>
        <v>40575</v>
      </c>
      <c r="AG788" s="368">
        <v>40598</v>
      </c>
      <c r="AH788" s="369">
        <v>1898.28</v>
      </c>
    </row>
    <row r="789" spans="32:34">
      <c r="AF789" s="367">
        <f t="shared" si="12"/>
        <v>40575</v>
      </c>
      <c r="AG789" s="368">
        <v>40599</v>
      </c>
      <c r="AH789" s="369">
        <v>1898.39</v>
      </c>
    </row>
    <row r="790" spans="32:34">
      <c r="AF790" s="367">
        <f t="shared" si="12"/>
        <v>40575</v>
      </c>
      <c r="AG790" s="368">
        <v>40600</v>
      </c>
      <c r="AH790" s="369">
        <v>1895.56</v>
      </c>
    </row>
    <row r="791" spans="32:34">
      <c r="AF791" s="367">
        <f t="shared" si="12"/>
        <v>40575</v>
      </c>
      <c r="AG791" s="368">
        <v>40601</v>
      </c>
      <c r="AH791" s="369">
        <v>1895.56</v>
      </c>
    </row>
    <row r="792" spans="32:34">
      <c r="AF792" s="367">
        <f t="shared" si="12"/>
        <v>40575</v>
      </c>
      <c r="AG792" s="368">
        <v>40602</v>
      </c>
      <c r="AH792" s="369">
        <v>1895.56</v>
      </c>
    </row>
    <row r="793" spans="32:34">
      <c r="AF793" s="367">
        <f t="shared" si="12"/>
        <v>40603</v>
      </c>
      <c r="AG793" s="368">
        <v>40603</v>
      </c>
      <c r="AH793" s="369">
        <v>1907.37</v>
      </c>
    </row>
    <row r="794" spans="32:34">
      <c r="AF794" s="367">
        <f t="shared" si="12"/>
        <v>40603</v>
      </c>
      <c r="AG794" s="368">
        <v>40604</v>
      </c>
      <c r="AH794" s="369">
        <v>1913.21</v>
      </c>
    </row>
    <row r="795" spans="32:34">
      <c r="AF795" s="367">
        <f t="shared" si="12"/>
        <v>40603</v>
      </c>
      <c r="AG795" s="368">
        <v>40605</v>
      </c>
      <c r="AH795" s="369">
        <v>1916.05</v>
      </c>
    </row>
    <row r="796" spans="32:34">
      <c r="AF796" s="367">
        <f t="shared" si="12"/>
        <v>40603</v>
      </c>
      <c r="AG796" s="368">
        <v>40606</v>
      </c>
      <c r="AH796" s="369">
        <v>1904.73</v>
      </c>
    </row>
    <row r="797" spans="32:34">
      <c r="AF797" s="367">
        <f t="shared" si="12"/>
        <v>40603</v>
      </c>
      <c r="AG797" s="368">
        <v>40607</v>
      </c>
      <c r="AH797" s="369">
        <v>1890.23</v>
      </c>
    </row>
    <row r="798" spans="32:34">
      <c r="AF798" s="367">
        <f t="shared" si="12"/>
        <v>40603</v>
      </c>
      <c r="AG798" s="368">
        <v>40608</v>
      </c>
      <c r="AH798" s="369">
        <v>1890.23</v>
      </c>
    </row>
    <row r="799" spans="32:34">
      <c r="AF799" s="367">
        <f t="shared" si="12"/>
        <v>40603</v>
      </c>
      <c r="AG799" s="368">
        <v>40609</v>
      </c>
      <c r="AH799" s="369">
        <v>1890.23</v>
      </c>
    </row>
    <row r="800" spans="32:34">
      <c r="AF800" s="367">
        <f t="shared" si="12"/>
        <v>40603</v>
      </c>
      <c r="AG800" s="368">
        <v>40610</v>
      </c>
      <c r="AH800" s="369">
        <v>1893.17</v>
      </c>
    </row>
    <row r="801" spans="32:34">
      <c r="AF801" s="367">
        <f t="shared" si="12"/>
        <v>40603</v>
      </c>
      <c r="AG801" s="368">
        <v>40611</v>
      </c>
      <c r="AH801" s="369">
        <v>1889.85</v>
      </c>
    </row>
    <row r="802" spans="32:34">
      <c r="AF802" s="367">
        <f t="shared" si="12"/>
        <v>40603</v>
      </c>
      <c r="AG802" s="368">
        <v>40612</v>
      </c>
      <c r="AH802" s="369">
        <v>1879.49</v>
      </c>
    </row>
    <row r="803" spans="32:34">
      <c r="AF803" s="367">
        <f t="shared" si="12"/>
        <v>40603</v>
      </c>
      <c r="AG803" s="368">
        <v>40613</v>
      </c>
      <c r="AH803" s="369">
        <v>1871.97</v>
      </c>
    </row>
    <row r="804" spans="32:34">
      <c r="AF804" s="367">
        <f t="shared" si="12"/>
        <v>40603</v>
      </c>
      <c r="AG804" s="368">
        <v>40614</v>
      </c>
      <c r="AH804" s="369">
        <v>1866.2</v>
      </c>
    </row>
    <row r="805" spans="32:34">
      <c r="AF805" s="367">
        <f t="shared" si="12"/>
        <v>40603</v>
      </c>
      <c r="AG805" s="368">
        <v>40615</v>
      </c>
      <c r="AH805" s="369">
        <v>1866.2</v>
      </c>
    </row>
    <row r="806" spans="32:34">
      <c r="AF806" s="367">
        <f t="shared" si="12"/>
        <v>40603</v>
      </c>
      <c r="AG806" s="368">
        <v>40616</v>
      </c>
      <c r="AH806" s="369">
        <v>1866.2</v>
      </c>
    </row>
    <row r="807" spans="32:34">
      <c r="AF807" s="367">
        <f t="shared" si="12"/>
        <v>40603</v>
      </c>
      <c r="AG807" s="368">
        <v>40617</v>
      </c>
      <c r="AH807" s="369">
        <v>1876.29</v>
      </c>
    </row>
    <row r="808" spans="32:34">
      <c r="AF808" s="367">
        <f t="shared" si="12"/>
        <v>40603</v>
      </c>
      <c r="AG808" s="368">
        <v>40618</v>
      </c>
      <c r="AH808" s="369">
        <v>1887.67</v>
      </c>
    </row>
    <row r="809" spans="32:34">
      <c r="AF809" s="367">
        <f t="shared" si="12"/>
        <v>40603</v>
      </c>
      <c r="AG809" s="368">
        <v>40619</v>
      </c>
      <c r="AH809" s="369">
        <v>1892.62</v>
      </c>
    </row>
    <row r="810" spans="32:34">
      <c r="AF810" s="367">
        <f t="shared" si="12"/>
        <v>40603</v>
      </c>
      <c r="AG810" s="368">
        <v>40620</v>
      </c>
      <c r="AH810" s="369">
        <v>1876.78</v>
      </c>
    </row>
    <row r="811" spans="32:34">
      <c r="AF811" s="367">
        <f t="shared" si="12"/>
        <v>40603</v>
      </c>
      <c r="AG811" s="368">
        <v>40621</v>
      </c>
      <c r="AH811" s="369">
        <v>1874.79</v>
      </c>
    </row>
    <row r="812" spans="32:34">
      <c r="AF812" s="367">
        <f t="shared" si="12"/>
        <v>40603</v>
      </c>
      <c r="AG812" s="368">
        <v>40622</v>
      </c>
      <c r="AH812" s="369">
        <v>1874.79</v>
      </c>
    </row>
    <row r="813" spans="32:34">
      <c r="AF813" s="367">
        <f t="shared" si="12"/>
        <v>40603</v>
      </c>
      <c r="AG813" s="368">
        <v>40623</v>
      </c>
      <c r="AH813" s="369">
        <v>1874.79</v>
      </c>
    </row>
    <row r="814" spans="32:34">
      <c r="AF814" s="367">
        <f t="shared" si="12"/>
        <v>40603</v>
      </c>
      <c r="AG814" s="368">
        <v>40624</v>
      </c>
      <c r="AH814" s="369">
        <v>1874.79</v>
      </c>
    </row>
    <row r="815" spans="32:34">
      <c r="AF815" s="367">
        <f t="shared" si="12"/>
        <v>40603</v>
      </c>
      <c r="AG815" s="368">
        <v>40625</v>
      </c>
      <c r="AH815" s="369">
        <v>1866.34</v>
      </c>
    </row>
    <row r="816" spans="32:34">
      <c r="AF816" s="367">
        <f t="shared" si="12"/>
        <v>40603</v>
      </c>
      <c r="AG816" s="368">
        <v>40626</v>
      </c>
      <c r="AH816" s="369">
        <v>1867.74</v>
      </c>
    </row>
    <row r="817" spans="32:34">
      <c r="AF817" s="367">
        <f t="shared" si="12"/>
        <v>40603</v>
      </c>
      <c r="AG817" s="368">
        <v>40627</v>
      </c>
      <c r="AH817" s="369">
        <v>1865.11</v>
      </c>
    </row>
    <row r="818" spans="32:34">
      <c r="AF818" s="367">
        <f t="shared" si="12"/>
        <v>40603</v>
      </c>
      <c r="AG818" s="368">
        <v>40628</v>
      </c>
      <c r="AH818" s="369">
        <v>1871.37</v>
      </c>
    </row>
    <row r="819" spans="32:34">
      <c r="AF819" s="367">
        <f t="shared" si="12"/>
        <v>40603</v>
      </c>
      <c r="AG819" s="368">
        <v>40629</v>
      </c>
      <c r="AH819" s="369">
        <v>1871.37</v>
      </c>
    </row>
    <row r="820" spans="32:34">
      <c r="AF820" s="367">
        <f t="shared" si="12"/>
        <v>40603</v>
      </c>
      <c r="AG820" s="368">
        <v>40630</v>
      </c>
      <c r="AH820" s="369">
        <v>1871.37</v>
      </c>
    </row>
    <row r="821" spans="32:34">
      <c r="AF821" s="367">
        <f t="shared" si="12"/>
        <v>40603</v>
      </c>
      <c r="AG821" s="368">
        <v>40631</v>
      </c>
      <c r="AH821" s="369">
        <v>1877.84</v>
      </c>
    </row>
    <row r="822" spans="32:34">
      <c r="AF822" s="367">
        <f t="shared" si="12"/>
        <v>40603</v>
      </c>
      <c r="AG822" s="368">
        <v>40632</v>
      </c>
      <c r="AH822" s="369">
        <v>1888</v>
      </c>
    </row>
    <row r="823" spans="32:34">
      <c r="AF823" s="367">
        <f t="shared" si="12"/>
        <v>40603</v>
      </c>
      <c r="AG823" s="368">
        <v>40633</v>
      </c>
      <c r="AH823" s="369">
        <v>1879.47</v>
      </c>
    </row>
    <row r="824" spans="32:34">
      <c r="AF824" s="367">
        <f t="shared" si="12"/>
        <v>40634</v>
      </c>
      <c r="AG824" s="368">
        <v>40634</v>
      </c>
      <c r="AH824" s="369">
        <v>1870.6</v>
      </c>
    </row>
    <row r="825" spans="32:34">
      <c r="AF825" s="367">
        <f t="shared" si="12"/>
        <v>40634</v>
      </c>
      <c r="AG825" s="368">
        <v>40635</v>
      </c>
      <c r="AH825" s="369">
        <v>1858.95</v>
      </c>
    </row>
    <row r="826" spans="32:34">
      <c r="AF826" s="367">
        <f t="shared" si="12"/>
        <v>40634</v>
      </c>
      <c r="AG826" s="368">
        <v>40636</v>
      </c>
      <c r="AH826" s="369">
        <v>1858.95</v>
      </c>
    </row>
    <row r="827" spans="32:34">
      <c r="AF827" s="367">
        <f t="shared" si="12"/>
        <v>40634</v>
      </c>
      <c r="AG827" s="368">
        <v>40637</v>
      </c>
      <c r="AH827" s="369">
        <v>1858.95</v>
      </c>
    </row>
    <row r="828" spans="32:34">
      <c r="AF828" s="367">
        <f t="shared" si="12"/>
        <v>40634</v>
      </c>
      <c r="AG828" s="368">
        <v>40638</v>
      </c>
      <c r="AH828" s="369">
        <v>1846.78</v>
      </c>
    </row>
    <row r="829" spans="32:34">
      <c r="AF829" s="367">
        <f t="shared" si="12"/>
        <v>40634</v>
      </c>
      <c r="AG829" s="368">
        <v>40639</v>
      </c>
      <c r="AH829" s="369">
        <v>1838.29</v>
      </c>
    </row>
    <row r="830" spans="32:34">
      <c r="AF830" s="367">
        <f t="shared" si="12"/>
        <v>40634</v>
      </c>
      <c r="AG830" s="368">
        <v>40640</v>
      </c>
      <c r="AH830" s="369">
        <v>1826.97</v>
      </c>
    </row>
    <row r="831" spans="32:34">
      <c r="AF831" s="367">
        <f t="shared" si="12"/>
        <v>40634</v>
      </c>
      <c r="AG831" s="368">
        <v>40641</v>
      </c>
      <c r="AH831" s="369">
        <v>1825.09</v>
      </c>
    </row>
    <row r="832" spans="32:34">
      <c r="AF832" s="367">
        <f t="shared" si="12"/>
        <v>40634</v>
      </c>
      <c r="AG832" s="368">
        <v>40642</v>
      </c>
      <c r="AH832" s="369">
        <v>1817.35</v>
      </c>
    </row>
    <row r="833" spans="32:34">
      <c r="AF833" s="367">
        <f t="shared" si="12"/>
        <v>40634</v>
      </c>
      <c r="AG833" s="368">
        <v>40643</v>
      </c>
      <c r="AH833" s="369">
        <v>1817.35</v>
      </c>
    </row>
    <row r="834" spans="32:34">
      <c r="AF834" s="367">
        <f t="shared" si="12"/>
        <v>40634</v>
      </c>
      <c r="AG834" s="368">
        <v>40644</v>
      </c>
      <c r="AH834" s="369">
        <v>1817.35</v>
      </c>
    </row>
    <row r="835" spans="32:34">
      <c r="AF835" s="367">
        <f t="shared" si="12"/>
        <v>40634</v>
      </c>
      <c r="AG835" s="368">
        <v>40645</v>
      </c>
      <c r="AH835" s="369">
        <v>1815.79</v>
      </c>
    </row>
    <row r="836" spans="32:34">
      <c r="AF836" s="367">
        <f t="shared" ref="AF836:AF899" si="13">+DATE(YEAR(AG836),MONTH(AG836),1)</f>
        <v>40634</v>
      </c>
      <c r="AG836" s="368">
        <v>40646</v>
      </c>
      <c r="AH836" s="369">
        <v>1818.14</v>
      </c>
    </row>
    <row r="837" spans="32:34">
      <c r="AF837" s="367">
        <f t="shared" si="13"/>
        <v>40634</v>
      </c>
      <c r="AG837" s="368">
        <v>40647</v>
      </c>
      <c r="AH837" s="369">
        <v>1818.91</v>
      </c>
    </row>
    <row r="838" spans="32:34">
      <c r="AF838" s="367">
        <f t="shared" si="13"/>
        <v>40634</v>
      </c>
      <c r="AG838" s="368">
        <v>40648</v>
      </c>
      <c r="AH838" s="369">
        <v>1811.1</v>
      </c>
    </row>
    <row r="839" spans="32:34">
      <c r="AF839" s="367">
        <f t="shared" si="13"/>
        <v>40634</v>
      </c>
      <c r="AG839" s="368">
        <v>40649</v>
      </c>
      <c r="AH839" s="369">
        <v>1800.63</v>
      </c>
    </row>
    <row r="840" spans="32:34">
      <c r="AF840" s="367">
        <f t="shared" si="13"/>
        <v>40634</v>
      </c>
      <c r="AG840" s="368">
        <v>40650</v>
      </c>
      <c r="AH840" s="369">
        <v>1800.63</v>
      </c>
    </row>
    <row r="841" spans="32:34">
      <c r="AF841" s="367">
        <f t="shared" si="13"/>
        <v>40634</v>
      </c>
      <c r="AG841" s="368">
        <v>40651</v>
      </c>
      <c r="AH841" s="369">
        <v>1800.63</v>
      </c>
    </row>
    <row r="842" spans="32:34">
      <c r="AF842" s="367">
        <f t="shared" si="13"/>
        <v>40634</v>
      </c>
      <c r="AG842" s="368">
        <v>40652</v>
      </c>
      <c r="AH842" s="369">
        <v>1799.79</v>
      </c>
    </row>
    <row r="843" spans="32:34">
      <c r="AF843" s="367">
        <f t="shared" si="13"/>
        <v>40634</v>
      </c>
      <c r="AG843" s="368">
        <v>40653</v>
      </c>
      <c r="AH843" s="369">
        <v>1790.54</v>
      </c>
    </row>
    <row r="844" spans="32:34">
      <c r="AF844" s="367">
        <f t="shared" si="13"/>
        <v>40634</v>
      </c>
      <c r="AG844" s="368">
        <v>40654</v>
      </c>
      <c r="AH844" s="369">
        <v>1782.59</v>
      </c>
    </row>
    <row r="845" spans="32:34">
      <c r="AF845" s="367">
        <f t="shared" si="13"/>
        <v>40634</v>
      </c>
      <c r="AG845" s="368">
        <v>40655</v>
      </c>
      <c r="AH845" s="369">
        <v>1782.59</v>
      </c>
    </row>
    <row r="846" spans="32:34">
      <c r="AF846" s="367">
        <f t="shared" si="13"/>
        <v>40634</v>
      </c>
      <c r="AG846" s="368">
        <v>40656</v>
      </c>
      <c r="AH846" s="369">
        <v>1782.59</v>
      </c>
    </row>
    <row r="847" spans="32:34">
      <c r="AF847" s="367">
        <f t="shared" si="13"/>
        <v>40634</v>
      </c>
      <c r="AG847" s="368">
        <v>40657</v>
      </c>
      <c r="AH847" s="369">
        <v>1782.59</v>
      </c>
    </row>
    <row r="848" spans="32:34">
      <c r="AF848" s="367">
        <f t="shared" si="13"/>
        <v>40634</v>
      </c>
      <c r="AG848" s="368">
        <v>40658</v>
      </c>
      <c r="AH848" s="369">
        <v>1782.59</v>
      </c>
    </row>
    <row r="849" spans="32:34">
      <c r="AF849" s="367">
        <f t="shared" si="13"/>
        <v>40634</v>
      </c>
      <c r="AG849" s="368">
        <v>40659</v>
      </c>
      <c r="AH849" s="369">
        <v>1781.56</v>
      </c>
    </row>
    <row r="850" spans="32:34">
      <c r="AF850" s="367">
        <f t="shared" si="13"/>
        <v>40634</v>
      </c>
      <c r="AG850" s="368">
        <v>40660</v>
      </c>
      <c r="AH850" s="369">
        <v>1787.88</v>
      </c>
    </row>
    <row r="851" spans="32:34">
      <c r="AF851" s="367">
        <f t="shared" si="13"/>
        <v>40634</v>
      </c>
      <c r="AG851" s="368">
        <v>40661</v>
      </c>
      <c r="AH851" s="369">
        <v>1784.11</v>
      </c>
    </row>
    <row r="852" spans="32:34">
      <c r="AF852" s="367">
        <f t="shared" si="13"/>
        <v>40634</v>
      </c>
      <c r="AG852" s="368">
        <v>40662</v>
      </c>
      <c r="AH852" s="369">
        <v>1767.54</v>
      </c>
    </row>
    <row r="853" spans="32:34">
      <c r="AF853" s="367">
        <f t="shared" si="13"/>
        <v>40634</v>
      </c>
      <c r="AG853" s="368">
        <v>40663</v>
      </c>
      <c r="AH853" s="369">
        <v>1768.19</v>
      </c>
    </row>
    <row r="854" spans="32:34">
      <c r="AF854" s="367">
        <f t="shared" si="13"/>
        <v>40664</v>
      </c>
      <c r="AG854" s="368">
        <v>40664</v>
      </c>
      <c r="AH854" s="369">
        <v>1768.19</v>
      </c>
    </row>
    <row r="855" spans="32:34">
      <c r="AF855" s="367">
        <f t="shared" si="13"/>
        <v>40664</v>
      </c>
      <c r="AG855" s="368">
        <v>40665</v>
      </c>
      <c r="AH855" s="369">
        <v>1768.19</v>
      </c>
    </row>
    <row r="856" spans="32:34">
      <c r="AF856" s="367">
        <f t="shared" si="13"/>
        <v>40664</v>
      </c>
      <c r="AG856" s="368">
        <v>40666</v>
      </c>
      <c r="AH856" s="369">
        <v>1768.37</v>
      </c>
    </row>
    <row r="857" spans="32:34">
      <c r="AF857" s="367">
        <f t="shared" si="13"/>
        <v>40664</v>
      </c>
      <c r="AG857" s="368">
        <v>40667</v>
      </c>
      <c r="AH857" s="369">
        <v>1767.05</v>
      </c>
    </row>
    <row r="858" spans="32:34">
      <c r="AF858" s="367">
        <f t="shared" si="13"/>
        <v>40664</v>
      </c>
      <c r="AG858" s="368">
        <v>40668</v>
      </c>
      <c r="AH858" s="369">
        <v>1763.45</v>
      </c>
    </row>
    <row r="859" spans="32:34">
      <c r="AF859" s="367">
        <f t="shared" si="13"/>
        <v>40664</v>
      </c>
      <c r="AG859" s="368">
        <v>40669</v>
      </c>
      <c r="AH859" s="369">
        <v>1769.46</v>
      </c>
    </row>
    <row r="860" spans="32:34">
      <c r="AF860" s="367">
        <f t="shared" si="13"/>
        <v>40664</v>
      </c>
      <c r="AG860" s="368">
        <v>40670</v>
      </c>
      <c r="AH860" s="369">
        <v>1763.12</v>
      </c>
    </row>
    <row r="861" spans="32:34">
      <c r="AF861" s="367">
        <f t="shared" si="13"/>
        <v>40664</v>
      </c>
      <c r="AG861" s="368">
        <v>40671</v>
      </c>
      <c r="AH861" s="369">
        <v>1763.12</v>
      </c>
    </row>
    <row r="862" spans="32:34">
      <c r="AF862" s="367">
        <f t="shared" si="13"/>
        <v>40664</v>
      </c>
      <c r="AG862" s="368">
        <v>40672</v>
      </c>
      <c r="AH862" s="369">
        <v>1763.12</v>
      </c>
    </row>
    <row r="863" spans="32:34">
      <c r="AF863" s="367">
        <f t="shared" si="13"/>
        <v>40664</v>
      </c>
      <c r="AG863" s="368">
        <v>40673</v>
      </c>
      <c r="AH863" s="369">
        <v>1779.7</v>
      </c>
    </row>
    <row r="864" spans="32:34">
      <c r="AF864" s="367">
        <f t="shared" si="13"/>
        <v>40664</v>
      </c>
      <c r="AG864" s="368">
        <v>40674</v>
      </c>
      <c r="AH864" s="369">
        <v>1791.72</v>
      </c>
    </row>
    <row r="865" spans="32:34">
      <c r="AF865" s="367">
        <f t="shared" si="13"/>
        <v>40664</v>
      </c>
      <c r="AG865" s="368">
        <v>40675</v>
      </c>
      <c r="AH865" s="369">
        <v>1798.66</v>
      </c>
    </row>
    <row r="866" spans="32:34">
      <c r="AF866" s="367">
        <f t="shared" si="13"/>
        <v>40664</v>
      </c>
      <c r="AG866" s="368">
        <v>40676</v>
      </c>
      <c r="AH866" s="369">
        <v>1807.86</v>
      </c>
    </row>
    <row r="867" spans="32:34">
      <c r="AF867" s="367">
        <f t="shared" si="13"/>
        <v>40664</v>
      </c>
      <c r="AG867" s="368">
        <v>40677</v>
      </c>
      <c r="AH867" s="369">
        <v>1805.37</v>
      </c>
    </row>
    <row r="868" spans="32:34">
      <c r="AF868" s="367">
        <f t="shared" si="13"/>
        <v>40664</v>
      </c>
      <c r="AG868" s="368">
        <v>40678</v>
      </c>
      <c r="AH868" s="369">
        <v>1805.37</v>
      </c>
    </row>
    <row r="869" spans="32:34">
      <c r="AF869" s="367">
        <f t="shared" si="13"/>
        <v>40664</v>
      </c>
      <c r="AG869" s="368">
        <v>40679</v>
      </c>
      <c r="AH869" s="369">
        <v>1805.37</v>
      </c>
    </row>
    <row r="870" spans="32:34">
      <c r="AF870" s="367">
        <f t="shared" si="13"/>
        <v>40664</v>
      </c>
      <c r="AG870" s="368">
        <v>40680</v>
      </c>
      <c r="AH870" s="369">
        <v>1814.98</v>
      </c>
    </row>
    <row r="871" spans="32:34">
      <c r="AF871" s="367">
        <f t="shared" si="13"/>
        <v>40664</v>
      </c>
      <c r="AG871" s="368">
        <v>40681</v>
      </c>
      <c r="AH871" s="369">
        <v>1826.03</v>
      </c>
    </row>
    <row r="872" spans="32:34">
      <c r="AF872" s="367">
        <f t="shared" si="13"/>
        <v>40664</v>
      </c>
      <c r="AG872" s="368">
        <v>40682</v>
      </c>
      <c r="AH872" s="369">
        <v>1824.62</v>
      </c>
    </row>
    <row r="873" spans="32:34">
      <c r="AF873" s="367">
        <f t="shared" si="13"/>
        <v>40664</v>
      </c>
      <c r="AG873" s="368">
        <v>40683</v>
      </c>
      <c r="AH873" s="369">
        <v>1814.99</v>
      </c>
    </row>
    <row r="874" spans="32:34">
      <c r="AF874" s="367">
        <f t="shared" si="13"/>
        <v>40664</v>
      </c>
      <c r="AG874" s="368">
        <v>40684</v>
      </c>
      <c r="AH874" s="369">
        <v>1819.86</v>
      </c>
    </row>
    <row r="875" spans="32:34">
      <c r="AF875" s="367">
        <f t="shared" si="13"/>
        <v>40664</v>
      </c>
      <c r="AG875" s="368">
        <v>40685</v>
      </c>
      <c r="AH875" s="369">
        <v>1819.86</v>
      </c>
    </row>
    <row r="876" spans="32:34">
      <c r="AF876" s="367">
        <f t="shared" si="13"/>
        <v>40664</v>
      </c>
      <c r="AG876" s="368">
        <v>40686</v>
      </c>
      <c r="AH876" s="369">
        <v>1819.86</v>
      </c>
    </row>
    <row r="877" spans="32:34">
      <c r="AF877" s="367">
        <f t="shared" si="13"/>
        <v>40664</v>
      </c>
      <c r="AG877" s="368">
        <v>40687</v>
      </c>
      <c r="AH877" s="369">
        <v>1828.12</v>
      </c>
    </row>
    <row r="878" spans="32:34">
      <c r="AF878" s="367">
        <f t="shared" si="13"/>
        <v>40664</v>
      </c>
      <c r="AG878" s="368">
        <v>40688</v>
      </c>
      <c r="AH878" s="369">
        <v>1828.64</v>
      </c>
    </row>
    <row r="879" spans="32:34">
      <c r="AF879" s="367">
        <f t="shared" si="13"/>
        <v>40664</v>
      </c>
      <c r="AG879" s="368">
        <v>40689</v>
      </c>
      <c r="AH879" s="369">
        <v>1831.58</v>
      </c>
    </row>
    <row r="880" spans="32:34">
      <c r="AF880" s="367">
        <f t="shared" si="13"/>
        <v>40664</v>
      </c>
      <c r="AG880" s="368">
        <v>40690</v>
      </c>
      <c r="AH880" s="369">
        <v>1829.75</v>
      </c>
    </row>
    <row r="881" spans="32:34">
      <c r="AF881" s="367">
        <f t="shared" si="13"/>
        <v>40664</v>
      </c>
      <c r="AG881" s="368">
        <v>40691</v>
      </c>
      <c r="AH881" s="369">
        <v>1817.34</v>
      </c>
    </row>
    <row r="882" spans="32:34">
      <c r="AF882" s="367">
        <f t="shared" si="13"/>
        <v>40664</v>
      </c>
      <c r="AG882" s="368">
        <v>40692</v>
      </c>
      <c r="AH882" s="369">
        <v>1817.34</v>
      </c>
    </row>
    <row r="883" spans="32:34">
      <c r="AF883" s="367">
        <f t="shared" si="13"/>
        <v>40664</v>
      </c>
      <c r="AG883" s="368">
        <v>40693</v>
      </c>
      <c r="AH883" s="369">
        <v>1817.34</v>
      </c>
    </row>
    <row r="884" spans="32:34">
      <c r="AF884" s="367">
        <f t="shared" si="13"/>
        <v>40664</v>
      </c>
      <c r="AG884" s="368">
        <v>40694</v>
      </c>
      <c r="AH884" s="369">
        <v>1817.34</v>
      </c>
    </row>
    <row r="885" spans="32:34">
      <c r="AF885" s="367">
        <f t="shared" si="13"/>
        <v>40695</v>
      </c>
      <c r="AG885" s="368">
        <v>40695</v>
      </c>
      <c r="AH885" s="369">
        <v>1797.83</v>
      </c>
    </row>
    <row r="886" spans="32:34">
      <c r="AF886" s="367">
        <f t="shared" si="13"/>
        <v>40695</v>
      </c>
      <c r="AG886" s="368">
        <v>40696</v>
      </c>
      <c r="AH886" s="369">
        <v>1789.41</v>
      </c>
    </row>
    <row r="887" spans="32:34">
      <c r="AF887" s="367">
        <f t="shared" si="13"/>
        <v>40695</v>
      </c>
      <c r="AG887" s="368">
        <v>40697</v>
      </c>
      <c r="AH887" s="369">
        <v>1784.12</v>
      </c>
    </row>
    <row r="888" spans="32:34">
      <c r="AF888" s="367">
        <f t="shared" si="13"/>
        <v>40695</v>
      </c>
      <c r="AG888" s="368">
        <v>40698</v>
      </c>
      <c r="AH888" s="369">
        <v>1785.05</v>
      </c>
    </row>
    <row r="889" spans="32:34">
      <c r="AF889" s="367">
        <f t="shared" si="13"/>
        <v>40695</v>
      </c>
      <c r="AG889" s="368">
        <v>40699</v>
      </c>
      <c r="AH889" s="369">
        <v>1785.05</v>
      </c>
    </row>
    <row r="890" spans="32:34">
      <c r="AF890" s="367">
        <f t="shared" si="13"/>
        <v>40695</v>
      </c>
      <c r="AG890" s="368">
        <v>40700</v>
      </c>
      <c r="AH890" s="369">
        <v>1785.05</v>
      </c>
    </row>
    <row r="891" spans="32:34">
      <c r="AF891" s="367">
        <f t="shared" si="13"/>
        <v>40695</v>
      </c>
      <c r="AG891" s="368">
        <v>40701</v>
      </c>
      <c r="AH891" s="369">
        <v>1785.05</v>
      </c>
    </row>
    <row r="892" spans="32:34">
      <c r="AF892" s="367">
        <f t="shared" si="13"/>
        <v>40695</v>
      </c>
      <c r="AG892" s="368">
        <v>40702</v>
      </c>
      <c r="AH892" s="369">
        <v>1770.13</v>
      </c>
    </row>
    <row r="893" spans="32:34">
      <c r="AF893" s="367">
        <f t="shared" si="13"/>
        <v>40695</v>
      </c>
      <c r="AG893" s="368">
        <v>40703</v>
      </c>
      <c r="AH893" s="369">
        <v>1769.83</v>
      </c>
    </row>
    <row r="894" spans="32:34">
      <c r="AF894" s="367">
        <f t="shared" si="13"/>
        <v>40695</v>
      </c>
      <c r="AG894" s="368">
        <v>40704</v>
      </c>
      <c r="AH894" s="369">
        <v>1772.59</v>
      </c>
    </row>
    <row r="895" spans="32:34">
      <c r="AF895" s="367">
        <f t="shared" si="13"/>
        <v>40695</v>
      </c>
      <c r="AG895" s="368">
        <v>40705</v>
      </c>
      <c r="AH895" s="369">
        <v>1774.94</v>
      </c>
    </row>
    <row r="896" spans="32:34">
      <c r="AF896" s="367">
        <f t="shared" si="13"/>
        <v>40695</v>
      </c>
      <c r="AG896" s="368">
        <v>40706</v>
      </c>
      <c r="AH896" s="369">
        <v>1774.94</v>
      </c>
    </row>
    <row r="897" spans="32:34">
      <c r="AF897" s="367">
        <f t="shared" si="13"/>
        <v>40695</v>
      </c>
      <c r="AG897" s="368">
        <v>40707</v>
      </c>
      <c r="AH897" s="369">
        <v>1774.94</v>
      </c>
    </row>
    <row r="898" spans="32:34">
      <c r="AF898" s="367">
        <f t="shared" si="13"/>
        <v>40695</v>
      </c>
      <c r="AG898" s="368">
        <v>40708</v>
      </c>
      <c r="AH898" s="369">
        <v>1777.64</v>
      </c>
    </row>
    <row r="899" spans="32:34">
      <c r="AF899" s="367">
        <f t="shared" si="13"/>
        <v>40695</v>
      </c>
      <c r="AG899" s="368">
        <v>40709</v>
      </c>
      <c r="AH899" s="369">
        <v>1774.24</v>
      </c>
    </row>
    <row r="900" spans="32:34">
      <c r="AF900" s="367">
        <f t="shared" ref="AF900:AF963" si="14">+DATE(YEAR(AG900),MONTH(AG900),1)</f>
        <v>40695</v>
      </c>
      <c r="AG900" s="368">
        <v>40710</v>
      </c>
      <c r="AH900" s="369">
        <v>1781.4</v>
      </c>
    </row>
    <row r="901" spans="32:34">
      <c r="AF901" s="367">
        <f t="shared" si="14"/>
        <v>40695</v>
      </c>
      <c r="AG901" s="368">
        <v>40711</v>
      </c>
      <c r="AH901" s="369">
        <v>1793.92</v>
      </c>
    </row>
    <row r="902" spans="32:34">
      <c r="AF902" s="367">
        <f t="shared" si="14"/>
        <v>40695</v>
      </c>
      <c r="AG902" s="368">
        <v>40712</v>
      </c>
      <c r="AH902" s="369">
        <v>1787.8</v>
      </c>
    </row>
    <row r="903" spans="32:34">
      <c r="AF903" s="367">
        <f t="shared" si="14"/>
        <v>40695</v>
      </c>
      <c r="AG903" s="368">
        <v>40713</v>
      </c>
      <c r="AH903" s="369">
        <v>1787.8</v>
      </c>
    </row>
    <row r="904" spans="32:34">
      <c r="AF904" s="367">
        <f t="shared" si="14"/>
        <v>40695</v>
      </c>
      <c r="AG904" s="368">
        <v>40714</v>
      </c>
      <c r="AH904" s="369">
        <v>1787.8</v>
      </c>
    </row>
    <row r="905" spans="32:34">
      <c r="AF905" s="367">
        <f t="shared" si="14"/>
        <v>40695</v>
      </c>
      <c r="AG905" s="368">
        <v>40715</v>
      </c>
      <c r="AH905" s="369">
        <v>1789.47</v>
      </c>
    </row>
    <row r="906" spans="32:34">
      <c r="AF906" s="367">
        <f t="shared" si="14"/>
        <v>40695</v>
      </c>
      <c r="AG906" s="368">
        <v>40716</v>
      </c>
      <c r="AH906" s="369">
        <v>1780.48</v>
      </c>
    </row>
    <row r="907" spans="32:34">
      <c r="AF907" s="367">
        <f t="shared" si="14"/>
        <v>40695</v>
      </c>
      <c r="AG907" s="368">
        <v>40717</v>
      </c>
      <c r="AH907" s="369">
        <v>1779.1</v>
      </c>
    </row>
    <row r="908" spans="32:34">
      <c r="AF908" s="367">
        <f t="shared" si="14"/>
        <v>40695</v>
      </c>
      <c r="AG908" s="368">
        <v>40718</v>
      </c>
      <c r="AH908" s="369">
        <v>1788.11</v>
      </c>
    </row>
    <row r="909" spans="32:34">
      <c r="AF909" s="367">
        <f t="shared" si="14"/>
        <v>40695</v>
      </c>
      <c r="AG909" s="368">
        <v>40719</v>
      </c>
      <c r="AH909" s="369">
        <v>1787.8</v>
      </c>
    </row>
    <row r="910" spans="32:34">
      <c r="AF910" s="367">
        <f t="shared" si="14"/>
        <v>40695</v>
      </c>
      <c r="AG910" s="368">
        <v>40720</v>
      </c>
      <c r="AH910" s="369">
        <v>1787.8</v>
      </c>
    </row>
    <row r="911" spans="32:34">
      <c r="AF911" s="367">
        <f t="shared" si="14"/>
        <v>40695</v>
      </c>
      <c r="AG911" s="368">
        <v>40721</v>
      </c>
      <c r="AH911" s="369">
        <v>1787.8</v>
      </c>
    </row>
    <row r="912" spans="32:34">
      <c r="AF912" s="367">
        <f t="shared" si="14"/>
        <v>40695</v>
      </c>
      <c r="AG912" s="368">
        <v>40722</v>
      </c>
      <c r="AH912" s="369">
        <v>1787.8</v>
      </c>
    </row>
    <row r="913" spans="32:34">
      <c r="AF913" s="367">
        <f t="shared" si="14"/>
        <v>40695</v>
      </c>
      <c r="AG913" s="368">
        <v>40723</v>
      </c>
      <c r="AH913" s="369">
        <v>1786.73</v>
      </c>
    </row>
    <row r="914" spans="32:34">
      <c r="AF914" s="367">
        <f t="shared" si="14"/>
        <v>40695</v>
      </c>
      <c r="AG914" s="368">
        <v>40724</v>
      </c>
      <c r="AH914" s="369">
        <v>1780.16</v>
      </c>
    </row>
    <row r="915" spans="32:34">
      <c r="AF915" s="367">
        <f t="shared" si="14"/>
        <v>40725</v>
      </c>
      <c r="AG915" s="368">
        <v>40725</v>
      </c>
      <c r="AH915" s="369">
        <v>1772.32</v>
      </c>
    </row>
    <row r="916" spans="32:34">
      <c r="AF916" s="367">
        <f t="shared" si="14"/>
        <v>40725</v>
      </c>
      <c r="AG916" s="368">
        <v>40726</v>
      </c>
      <c r="AH916" s="369">
        <v>1762.59</v>
      </c>
    </row>
    <row r="917" spans="32:34">
      <c r="AF917" s="367">
        <f t="shared" si="14"/>
        <v>40725</v>
      </c>
      <c r="AG917" s="368">
        <v>40727</v>
      </c>
      <c r="AH917" s="369">
        <v>1762.59</v>
      </c>
    </row>
    <row r="918" spans="32:34">
      <c r="AF918" s="367">
        <f t="shared" si="14"/>
        <v>40725</v>
      </c>
      <c r="AG918" s="368">
        <v>40728</v>
      </c>
      <c r="AH918" s="369">
        <v>1762.59</v>
      </c>
    </row>
    <row r="919" spans="32:34">
      <c r="AF919" s="367">
        <f t="shared" si="14"/>
        <v>40725</v>
      </c>
      <c r="AG919" s="368">
        <v>40729</v>
      </c>
      <c r="AH919" s="369">
        <v>1762.59</v>
      </c>
    </row>
    <row r="920" spans="32:34">
      <c r="AF920" s="367">
        <f t="shared" si="14"/>
        <v>40725</v>
      </c>
      <c r="AG920" s="368">
        <v>40730</v>
      </c>
      <c r="AH920" s="369">
        <v>1766.57</v>
      </c>
    </row>
    <row r="921" spans="32:34">
      <c r="AF921" s="367">
        <f t="shared" si="14"/>
        <v>40725</v>
      </c>
      <c r="AG921" s="368">
        <v>40731</v>
      </c>
      <c r="AH921" s="369">
        <v>1767.47</v>
      </c>
    </row>
    <row r="922" spans="32:34">
      <c r="AF922" s="367">
        <f t="shared" si="14"/>
        <v>40725</v>
      </c>
      <c r="AG922" s="368">
        <v>40732</v>
      </c>
      <c r="AH922" s="369">
        <v>1759.38</v>
      </c>
    </row>
    <row r="923" spans="32:34">
      <c r="AF923" s="367">
        <f t="shared" si="14"/>
        <v>40725</v>
      </c>
      <c r="AG923" s="368">
        <v>40733</v>
      </c>
      <c r="AH923" s="369">
        <v>1759.41</v>
      </c>
    </row>
    <row r="924" spans="32:34">
      <c r="AF924" s="367">
        <f t="shared" si="14"/>
        <v>40725</v>
      </c>
      <c r="AG924" s="368">
        <v>40734</v>
      </c>
      <c r="AH924" s="369">
        <v>1759.41</v>
      </c>
    </row>
    <row r="925" spans="32:34">
      <c r="AF925" s="367">
        <f t="shared" si="14"/>
        <v>40725</v>
      </c>
      <c r="AG925" s="368">
        <v>40735</v>
      </c>
      <c r="AH925" s="369">
        <v>1759.41</v>
      </c>
    </row>
    <row r="926" spans="32:34">
      <c r="AF926" s="367">
        <f t="shared" si="14"/>
        <v>40725</v>
      </c>
      <c r="AG926" s="368">
        <v>40736</v>
      </c>
      <c r="AH926" s="369">
        <v>1768.42</v>
      </c>
    </row>
    <row r="927" spans="32:34">
      <c r="AF927" s="367">
        <f t="shared" si="14"/>
        <v>40725</v>
      </c>
      <c r="AG927" s="368">
        <v>40737</v>
      </c>
      <c r="AH927" s="369">
        <v>1765.32</v>
      </c>
    </row>
    <row r="928" spans="32:34">
      <c r="AF928" s="367">
        <f t="shared" si="14"/>
        <v>40725</v>
      </c>
      <c r="AG928" s="368">
        <v>40738</v>
      </c>
      <c r="AH928" s="369">
        <v>1758.25</v>
      </c>
    </row>
    <row r="929" spans="32:34">
      <c r="AF929" s="367">
        <f t="shared" si="14"/>
        <v>40725</v>
      </c>
      <c r="AG929" s="368">
        <v>40739</v>
      </c>
      <c r="AH929" s="369">
        <v>1748.41</v>
      </c>
    </row>
    <row r="930" spans="32:34">
      <c r="AF930" s="367">
        <f t="shared" si="14"/>
        <v>40725</v>
      </c>
      <c r="AG930" s="368">
        <v>40740</v>
      </c>
      <c r="AH930" s="369">
        <v>1750.9</v>
      </c>
    </row>
    <row r="931" spans="32:34">
      <c r="AF931" s="367">
        <f t="shared" si="14"/>
        <v>40725</v>
      </c>
      <c r="AG931" s="368">
        <v>40741</v>
      </c>
      <c r="AH931" s="369">
        <v>1750.9</v>
      </c>
    </row>
    <row r="932" spans="32:34">
      <c r="AF932" s="367">
        <f t="shared" si="14"/>
        <v>40725</v>
      </c>
      <c r="AG932" s="368">
        <v>40742</v>
      </c>
      <c r="AH932" s="369">
        <v>1750.9</v>
      </c>
    </row>
    <row r="933" spans="32:34">
      <c r="AF933" s="367">
        <f t="shared" si="14"/>
        <v>40725</v>
      </c>
      <c r="AG933" s="368">
        <v>40743</v>
      </c>
      <c r="AH933" s="369">
        <v>1758.99</v>
      </c>
    </row>
    <row r="934" spans="32:34">
      <c r="AF934" s="367">
        <f t="shared" si="14"/>
        <v>40725</v>
      </c>
      <c r="AG934" s="368">
        <v>40744</v>
      </c>
      <c r="AH934" s="369">
        <v>1757.49</v>
      </c>
    </row>
    <row r="935" spans="32:34">
      <c r="AF935" s="367">
        <f t="shared" si="14"/>
        <v>40725</v>
      </c>
      <c r="AG935" s="368">
        <v>40745</v>
      </c>
      <c r="AH935" s="369">
        <v>1757.49</v>
      </c>
    </row>
    <row r="936" spans="32:34">
      <c r="AF936" s="367">
        <f t="shared" si="14"/>
        <v>40725</v>
      </c>
      <c r="AG936" s="368">
        <v>40746</v>
      </c>
      <c r="AH936" s="369">
        <v>1756.38</v>
      </c>
    </row>
    <row r="937" spans="32:34">
      <c r="AF937" s="367">
        <f t="shared" si="14"/>
        <v>40725</v>
      </c>
      <c r="AG937" s="368">
        <v>40747</v>
      </c>
      <c r="AH937" s="369">
        <v>1757.35</v>
      </c>
    </row>
    <row r="938" spans="32:34">
      <c r="AF938" s="367">
        <f t="shared" si="14"/>
        <v>40725</v>
      </c>
      <c r="AG938" s="368">
        <v>40748</v>
      </c>
      <c r="AH938" s="369">
        <v>1757.35</v>
      </c>
    </row>
    <row r="939" spans="32:34">
      <c r="AF939" s="367">
        <f t="shared" si="14"/>
        <v>40725</v>
      </c>
      <c r="AG939" s="368">
        <v>40749</v>
      </c>
      <c r="AH939" s="369">
        <v>1757.35</v>
      </c>
    </row>
    <row r="940" spans="32:34">
      <c r="AF940" s="367">
        <f t="shared" si="14"/>
        <v>40725</v>
      </c>
      <c r="AG940" s="368">
        <v>40750</v>
      </c>
      <c r="AH940" s="369">
        <v>1768.02</v>
      </c>
    </row>
    <row r="941" spans="32:34">
      <c r="AF941" s="367">
        <f t="shared" si="14"/>
        <v>40725</v>
      </c>
      <c r="AG941" s="368">
        <v>40751</v>
      </c>
      <c r="AH941" s="369">
        <v>1759.88</v>
      </c>
    </row>
    <row r="942" spans="32:34">
      <c r="AF942" s="367">
        <f t="shared" si="14"/>
        <v>40725</v>
      </c>
      <c r="AG942" s="368">
        <v>40752</v>
      </c>
      <c r="AH942" s="369">
        <v>1764.89</v>
      </c>
    </row>
    <row r="943" spans="32:34">
      <c r="AF943" s="367">
        <f t="shared" si="14"/>
        <v>40725</v>
      </c>
      <c r="AG943" s="368">
        <v>40753</v>
      </c>
      <c r="AH943" s="369">
        <v>1771.15</v>
      </c>
    </row>
    <row r="944" spans="32:34">
      <c r="AF944" s="367">
        <f t="shared" si="14"/>
        <v>40725</v>
      </c>
      <c r="AG944" s="368">
        <v>40754</v>
      </c>
      <c r="AH944" s="369">
        <v>1777.82</v>
      </c>
    </row>
    <row r="945" spans="32:34">
      <c r="AF945" s="367">
        <f t="shared" si="14"/>
        <v>40725</v>
      </c>
      <c r="AG945" s="368">
        <v>40755</v>
      </c>
      <c r="AH945" s="369">
        <v>1777.82</v>
      </c>
    </row>
    <row r="946" spans="32:34">
      <c r="AF946" s="367">
        <f t="shared" si="14"/>
        <v>40756</v>
      </c>
      <c r="AG946" s="368">
        <v>40756</v>
      </c>
      <c r="AH946" s="369">
        <v>1777.82</v>
      </c>
    </row>
    <row r="947" spans="32:34">
      <c r="AF947" s="367">
        <f t="shared" si="14"/>
        <v>40756</v>
      </c>
      <c r="AG947" s="368">
        <v>40757</v>
      </c>
      <c r="AH947" s="369">
        <v>1771.81</v>
      </c>
    </row>
    <row r="948" spans="32:34">
      <c r="AF948" s="367">
        <f t="shared" si="14"/>
        <v>40756</v>
      </c>
      <c r="AG948" s="368">
        <v>40758</v>
      </c>
      <c r="AH948" s="369">
        <v>1765.53</v>
      </c>
    </row>
    <row r="949" spans="32:34">
      <c r="AF949" s="367">
        <f t="shared" si="14"/>
        <v>40756</v>
      </c>
      <c r="AG949" s="368">
        <v>40759</v>
      </c>
      <c r="AH949" s="369">
        <v>1772.52</v>
      </c>
    </row>
    <row r="950" spans="32:34">
      <c r="AF950" s="367">
        <f t="shared" si="14"/>
        <v>40756</v>
      </c>
      <c r="AG950" s="368">
        <v>40760</v>
      </c>
      <c r="AH950" s="369">
        <v>1781.33</v>
      </c>
    </row>
    <row r="951" spans="32:34">
      <c r="AF951" s="367">
        <f t="shared" si="14"/>
        <v>40756</v>
      </c>
      <c r="AG951" s="368">
        <v>40761</v>
      </c>
      <c r="AH951" s="369">
        <v>1792.68</v>
      </c>
    </row>
    <row r="952" spans="32:34">
      <c r="AF952" s="367">
        <f t="shared" si="14"/>
        <v>40756</v>
      </c>
      <c r="AG952" s="368">
        <v>40762</v>
      </c>
      <c r="AH952" s="369">
        <v>1792.68</v>
      </c>
    </row>
    <row r="953" spans="32:34">
      <c r="AF953" s="367">
        <f t="shared" si="14"/>
        <v>40756</v>
      </c>
      <c r="AG953" s="368">
        <v>40763</v>
      </c>
      <c r="AH953" s="369">
        <v>1792.68</v>
      </c>
    </row>
    <row r="954" spans="32:34">
      <c r="AF954" s="367">
        <f t="shared" si="14"/>
        <v>40756</v>
      </c>
      <c r="AG954" s="368">
        <v>40764</v>
      </c>
      <c r="AH954" s="369">
        <v>1811.18</v>
      </c>
    </row>
    <row r="955" spans="32:34">
      <c r="AF955" s="367">
        <f t="shared" si="14"/>
        <v>40756</v>
      </c>
      <c r="AG955" s="368">
        <v>40765</v>
      </c>
      <c r="AH955" s="369">
        <v>1811.68</v>
      </c>
    </row>
    <row r="956" spans="32:34">
      <c r="AF956" s="367">
        <f t="shared" si="14"/>
        <v>40756</v>
      </c>
      <c r="AG956" s="368">
        <v>40766</v>
      </c>
      <c r="AH956" s="369">
        <v>1800.97</v>
      </c>
    </row>
    <row r="957" spans="32:34">
      <c r="AF957" s="367">
        <f t="shared" si="14"/>
        <v>40756</v>
      </c>
      <c r="AG957" s="368">
        <v>40767</v>
      </c>
      <c r="AH957" s="369">
        <v>1793.47</v>
      </c>
    </row>
    <row r="958" spans="32:34">
      <c r="AF958" s="367">
        <f t="shared" si="14"/>
        <v>40756</v>
      </c>
      <c r="AG958" s="368">
        <v>40768</v>
      </c>
      <c r="AH958" s="369">
        <v>1783.35</v>
      </c>
    </row>
    <row r="959" spans="32:34">
      <c r="AF959" s="367">
        <f t="shared" si="14"/>
        <v>40756</v>
      </c>
      <c r="AG959" s="368">
        <v>40769</v>
      </c>
      <c r="AH959" s="369">
        <v>1783.35</v>
      </c>
    </row>
    <row r="960" spans="32:34">
      <c r="AF960" s="367">
        <f t="shared" si="14"/>
        <v>40756</v>
      </c>
      <c r="AG960" s="368">
        <v>40770</v>
      </c>
      <c r="AH960" s="369">
        <v>1783.35</v>
      </c>
    </row>
    <row r="961" spans="32:34">
      <c r="AF961" s="367">
        <f t="shared" si="14"/>
        <v>40756</v>
      </c>
      <c r="AG961" s="368">
        <v>40771</v>
      </c>
      <c r="AH961" s="369">
        <v>1783.35</v>
      </c>
    </row>
    <row r="962" spans="32:34">
      <c r="AF962" s="367">
        <f t="shared" si="14"/>
        <v>40756</v>
      </c>
      <c r="AG962" s="368">
        <v>40772</v>
      </c>
      <c r="AH962" s="369">
        <v>1776.66</v>
      </c>
    </row>
    <row r="963" spans="32:34">
      <c r="AF963" s="367">
        <f t="shared" si="14"/>
        <v>40756</v>
      </c>
      <c r="AG963" s="368">
        <v>40773</v>
      </c>
      <c r="AH963" s="369">
        <v>1767.29</v>
      </c>
    </row>
    <row r="964" spans="32:34">
      <c r="AF964" s="367">
        <f t="shared" ref="AF964:AF1027" si="15">+DATE(YEAR(AG964),MONTH(AG964),1)</f>
        <v>40756</v>
      </c>
      <c r="AG964" s="368">
        <v>40774</v>
      </c>
      <c r="AH964" s="369">
        <v>1775.84</v>
      </c>
    </row>
    <row r="965" spans="32:34">
      <c r="AF965" s="367">
        <f t="shared" si="15"/>
        <v>40756</v>
      </c>
      <c r="AG965" s="368">
        <v>40775</v>
      </c>
      <c r="AH965" s="369">
        <v>1779.05</v>
      </c>
    </row>
    <row r="966" spans="32:34">
      <c r="AF966" s="367">
        <f t="shared" si="15"/>
        <v>40756</v>
      </c>
      <c r="AG966" s="368">
        <v>40776</v>
      </c>
      <c r="AH966" s="369">
        <v>1779.05</v>
      </c>
    </row>
    <row r="967" spans="32:34">
      <c r="AF967" s="367">
        <f t="shared" si="15"/>
        <v>40756</v>
      </c>
      <c r="AG967" s="368">
        <v>40777</v>
      </c>
      <c r="AH967" s="369">
        <v>1779.05</v>
      </c>
    </row>
    <row r="968" spans="32:34">
      <c r="AF968" s="367">
        <f t="shared" si="15"/>
        <v>40756</v>
      </c>
      <c r="AG968" s="368">
        <v>40778</v>
      </c>
      <c r="AH968" s="369">
        <v>1779.86</v>
      </c>
    </row>
    <row r="969" spans="32:34">
      <c r="AF969" s="367">
        <f t="shared" si="15"/>
        <v>40756</v>
      </c>
      <c r="AG969" s="368">
        <v>40779</v>
      </c>
      <c r="AH969" s="369">
        <v>1781.91</v>
      </c>
    </row>
    <row r="970" spans="32:34">
      <c r="AF970" s="367">
        <f t="shared" si="15"/>
        <v>40756</v>
      </c>
      <c r="AG970" s="368">
        <v>40780</v>
      </c>
      <c r="AH970" s="369">
        <v>1791.61</v>
      </c>
    </row>
    <row r="971" spans="32:34">
      <c r="AF971" s="367">
        <f t="shared" si="15"/>
        <v>40756</v>
      </c>
      <c r="AG971" s="368">
        <v>40781</v>
      </c>
      <c r="AH971" s="369">
        <v>1791.05</v>
      </c>
    </row>
    <row r="972" spans="32:34">
      <c r="AF972" s="367">
        <f t="shared" si="15"/>
        <v>40756</v>
      </c>
      <c r="AG972" s="368">
        <v>40782</v>
      </c>
      <c r="AH972" s="369">
        <v>1794.02</v>
      </c>
    </row>
    <row r="973" spans="32:34">
      <c r="AF973" s="367">
        <f t="shared" si="15"/>
        <v>40756</v>
      </c>
      <c r="AG973" s="368">
        <v>40783</v>
      </c>
      <c r="AH973" s="369">
        <v>1794.02</v>
      </c>
    </row>
    <row r="974" spans="32:34">
      <c r="AF974" s="367">
        <f t="shared" si="15"/>
        <v>40756</v>
      </c>
      <c r="AG974" s="368">
        <v>40784</v>
      </c>
      <c r="AH974" s="369">
        <v>1794.02</v>
      </c>
    </row>
    <row r="975" spans="32:34">
      <c r="AF975" s="367">
        <f t="shared" si="15"/>
        <v>40756</v>
      </c>
      <c r="AG975" s="368">
        <v>40785</v>
      </c>
      <c r="AH975" s="369">
        <v>1787.52</v>
      </c>
    </row>
    <row r="976" spans="32:34">
      <c r="AF976" s="367">
        <f t="shared" si="15"/>
        <v>40756</v>
      </c>
      <c r="AG976" s="368">
        <v>40786</v>
      </c>
      <c r="AH976" s="369">
        <v>1783.66</v>
      </c>
    </row>
    <row r="977" spans="32:34">
      <c r="AF977" s="367">
        <f t="shared" si="15"/>
        <v>40787</v>
      </c>
      <c r="AG977" s="368">
        <v>40787</v>
      </c>
      <c r="AH977" s="369">
        <v>1780.26</v>
      </c>
    </row>
    <row r="978" spans="32:34">
      <c r="AF978" s="367">
        <f t="shared" si="15"/>
        <v>40787</v>
      </c>
      <c r="AG978" s="368">
        <v>40788</v>
      </c>
      <c r="AH978" s="369">
        <v>1778.51</v>
      </c>
    </row>
    <row r="979" spans="32:34">
      <c r="AF979" s="367">
        <f t="shared" si="15"/>
        <v>40787</v>
      </c>
      <c r="AG979" s="368">
        <v>40789</v>
      </c>
      <c r="AH979" s="369">
        <v>1782.8</v>
      </c>
    </row>
    <row r="980" spans="32:34">
      <c r="AF980" s="367">
        <f t="shared" si="15"/>
        <v>40787</v>
      </c>
      <c r="AG980" s="368">
        <v>40790</v>
      </c>
      <c r="AH980" s="369">
        <v>1782.8</v>
      </c>
    </row>
    <row r="981" spans="32:34">
      <c r="AF981" s="367">
        <f t="shared" si="15"/>
        <v>40787</v>
      </c>
      <c r="AG981" s="368">
        <v>40791</v>
      </c>
      <c r="AH981" s="369">
        <v>1782.8</v>
      </c>
    </row>
    <row r="982" spans="32:34">
      <c r="AF982" s="367">
        <f t="shared" si="15"/>
        <v>40787</v>
      </c>
      <c r="AG982" s="368">
        <v>40792</v>
      </c>
      <c r="AH982" s="369">
        <v>1782.8</v>
      </c>
    </row>
    <row r="983" spans="32:34">
      <c r="AF983" s="367">
        <f t="shared" si="15"/>
        <v>40787</v>
      </c>
      <c r="AG983" s="368">
        <v>40793</v>
      </c>
      <c r="AH983" s="369">
        <v>1791.89</v>
      </c>
    </row>
    <row r="984" spans="32:34">
      <c r="AF984" s="367">
        <f t="shared" si="15"/>
        <v>40787</v>
      </c>
      <c r="AG984" s="368">
        <v>40794</v>
      </c>
      <c r="AH984" s="369">
        <v>1789.3</v>
      </c>
    </row>
    <row r="985" spans="32:34">
      <c r="AF985" s="367">
        <f t="shared" si="15"/>
        <v>40787</v>
      </c>
      <c r="AG985" s="368">
        <v>40795</v>
      </c>
      <c r="AH985" s="369">
        <v>1789.9</v>
      </c>
    </row>
    <row r="986" spans="32:34">
      <c r="AF986" s="367">
        <f t="shared" si="15"/>
        <v>40787</v>
      </c>
      <c r="AG986" s="368">
        <v>40796</v>
      </c>
      <c r="AH986" s="369">
        <v>1796.58</v>
      </c>
    </row>
    <row r="987" spans="32:34">
      <c r="AF987" s="367">
        <f t="shared" si="15"/>
        <v>40787</v>
      </c>
      <c r="AG987" s="368">
        <v>40797</v>
      </c>
      <c r="AH987" s="369">
        <v>1796.58</v>
      </c>
    </row>
    <row r="988" spans="32:34">
      <c r="AF988" s="367">
        <f t="shared" si="15"/>
        <v>40787</v>
      </c>
      <c r="AG988" s="368">
        <v>40798</v>
      </c>
      <c r="AH988" s="369">
        <v>1796.58</v>
      </c>
    </row>
    <row r="989" spans="32:34">
      <c r="AF989" s="367">
        <f t="shared" si="15"/>
        <v>40787</v>
      </c>
      <c r="AG989" s="368">
        <v>40799</v>
      </c>
      <c r="AH989" s="369">
        <v>1811.34</v>
      </c>
    </row>
    <row r="990" spans="32:34">
      <c r="AF990" s="367">
        <f t="shared" si="15"/>
        <v>40787</v>
      </c>
      <c r="AG990" s="368">
        <v>40800</v>
      </c>
      <c r="AH990" s="369">
        <v>1813.42</v>
      </c>
    </row>
    <row r="991" spans="32:34">
      <c r="AF991" s="367">
        <f t="shared" si="15"/>
        <v>40787</v>
      </c>
      <c r="AG991" s="368">
        <v>40801</v>
      </c>
      <c r="AH991" s="369">
        <v>1824.15</v>
      </c>
    </row>
    <row r="992" spans="32:34">
      <c r="AF992" s="367">
        <f t="shared" si="15"/>
        <v>40787</v>
      </c>
      <c r="AG992" s="368">
        <v>40802</v>
      </c>
      <c r="AH992" s="369">
        <v>1822.04</v>
      </c>
    </row>
    <row r="993" spans="32:34">
      <c r="AF993" s="367">
        <f t="shared" si="15"/>
        <v>40787</v>
      </c>
      <c r="AG993" s="368">
        <v>40803</v>
      </c>
      <c r="AH993" s="369">
        <v>1820.29</v>
      </c>
    </row>
    <row r="994" spans="32:34">
      <c r="AF994" s="367">
        <f t="shared" si="15"/>
        <v>40787</v>
      </c>
      <c r="AG994" s="368">
        <v>40804</v>
      </c>
      <c r="AH994" s="369">
        <v>1820.29</v>
      </c>
    </row>
    <row r="995" spans="32:34">
      <c r="AF995" s="367">
        <f t="shared" si="15"/>
        <v>40787</v>
      </c>
      <c r="AG995" s="368">
        <v>40805</v>
      </c>
      <c r="AH995" s="369">
        <v>1820.29</v>
      </c>
    </row>
    <row r="996" spans="32:34">
      <c r="AF996" s="367">
        <f t="shared" si="15"/>
        <v>40787</v>
      </c>
      <c r="AG996" s="368">
        <v>40806</v>
      </c>
      <c r="AH996" s="369">
        <v>1843.26</v>
      </c>
    </row>
    <row r="997" spans="32:34">
      <c r="AF997" s="367">
        <f t="shared" si="15"/>
        <v>40787</v>
      </c>
      <c r="AG997" s="368">
        <v>40807</v>
      </c>
      <c r="AH997" s="369">
        <v>1854.96</v>
      </c>
    </row>
    <row r="998" spans="32:34">
      <c r="AF998" s="367">
        <f t="shared" si="15"/>
        <v>40787</v>
      </c>
      <c r="AG998" s="368">
        <v>40808</v>
      </c>
      <c r="AH998" s="369">
        <v>1882.23</v>
      </c>
    </row>
    <row r="999" spans="32:34">
      <c r="AF999" s="367">
        <f t="shared" si="15"/>
        <v>40787</v>
      </c>
      <c r="AG999" s="368">
        <v>40809</v>
      </c>
      <c r="AH999" s="369">
        <v>1915.63</v>
      </c>
    </row>
    <row r="1000" spans="32:34">
      <c r="AF1000" s="367">
        <f t="shared" si="15"/>
        <v>40787</v>
      </c>
      <c r="AG1000" s="368">
        <v>40810</v>
      </c>
      <c r="AH1000" s="369">
        <v>1902.45</v>
      </c>
    </row>
    <row r="1001" spans="32:34">
      <c r="AF1001" s="367">
        <f t="shared" si="15"/>
        <v>40787</v>
      </c>
      <c r="AG1001" s="368">
        <v>40811</v>
      </c>
      <c r="AH1001" s="369">
        <v>1902.45</v>
      </c>
    </row>
    <row r="1002" spans="32:34">
      <c r="AF1002" s="367">
        <f t="shared" si="15"/>
        <v>40787</v>
      </c>
      <c r="AG1002" s="368">
        <v>40812</v>
      </c>
      <c r="AH1002" s="369">
        <v>1902.45</v>
      </c>
    </row>
    <row r="1003" spans="32:34">
      <c r="AF1003" s="367">
        <f t="shared" si="15"/>
        <v>40787</v>
      </c>
      <c r="AG1003" s="368">
        <v>40813</v>
      </c>
      <c r="AH1003" s="369">
        <v>1903.31</v>
      </c>
    </row>
    <row r="1004" spans="32:34">
      <c r="AF1004" s="367">
        <f t="shared" si="15"/>
        <v>40787</v>
      </c>
      <c r="AG1004" s="368">
        <v>40814</v>
      </c>
      <c r="AH1004" s="369">
        <v>1887.38</v>
      </c>
    </row>
    <row r="1005" spans="32:34">
      <c r="AF1005" s="367">
        <f t="shared" si="15"/>
        <v>40787</v>
      </c>
      <c r="AG1005" s="368">
        <v>40815</v>
      </c>
      <c r="AH1005" s="369">
        <v>1907.75</v>
      </c>
    </row>
    <row r="1006" spans="32:34">
      <c r="AF1006" s="367">
        <f t="shared" si="15"/>
        <v>40787</v>
      </c>
      <c r="AG1006" s="368">
        <v>40816</v>
      </c>
      <c r="AH1006" s="369">
        <v>1915.1</v>
      </c>
    </row>
    <row r="1007" spans="32:34">
      <c r="AF1007" s="367">
        <f t="shared" si="15"/>
        <v>40817</v>
      </c>
      <c r="AG1007" s="368">
        <v>40817</v>
      </c>
      <c r="AH1007" s="369">
        <v>1929.01</v>
      </c>
    </row>
    <row r="1008" spans="32:34">
      <c r="AF1008" s="367">
        <f t="shared" si="15"/>
        <v>40817</v>
      </c>
      <c r="AG1008" s="368">
        <v>40818</v>
      </c>
      <c r="AH1008" s="369">
        <v>1929.01</v>
      </c>
    </row>
    <row r="1009" spans="32:34">
      <c r="AF1009" s="367">
        <f t="shared" si="15"/>
        <v>40817</v>
      </c>
      <c r="AG1009" s="368">
        <v>40819</v>
      </c>
      <c r="AH1009" s="369">
        <v>1929.01</v>
      </c>
    </row>
    <row r="1010" spans="32:34">
      <c r="AF1010" s="367">
        <f t="shared" si="15"/>
        <v>40817</v>
      </c>
      <c r="AG1010" s="368">
        <v>40820</v>
      </c>
      <c r="AH1010" s="369">
        <v>1943.8</v>
      </c>
    </row>
    <row r="1011" spans="32:34">
      <c r="AF1011" s="367">
        <f t="shared" si="15"/>
        <v>40817</v>
      </c>
      <c r="AG1011" s="368">
        <v>40821</v>
      </c>
      <c r="AH1011" s="369">
        <v>1972.76</v>
      </c>
    </row>
    <row r="1012" spans="32:34">
      <c r="AF1012" s="367">
        <f t="shared" si="15"/>
        <v>40817</v>
      </c>
      <c r="AG1012" s="368">
        <v>40822</v>
      </c>
      <c r="AH1012" s="369">
        <v>1967.56</v>
      </c>
    </row>
    <row r="1013" spans="32:34">
      <c r="AF1013" s="367">
        <f t="shared" si="15"/>
        <v>40817</v>
      </c>
      <c r="AG1013" s="368">
        <v>40823</v>
      </c>
      <c r="AH1013" s="369">
        <v>1952.09</v>
      </c>
    </row>
    <row r="1014" spans="32:34">
      <c r="AF1014" s="367">
        <f t="shared" si="15"/>
        <v>40817</v>
      </c>
      <c r="AG1014" s="368">
        <v>40824</v>
      </c>
      <c r="AH1014" s="369">
        <v>1931.64</v>
      </c>
    </row>
    <row r="1015" spans="32:34">
      <c r="AF1015" s="367">
        <f t="shared" si="15"/>
        <v>40817</v>
      </c>
      <c r="AG1015" s="368">
        <v>40825</v>
      </c>
      <c r="AH1015" s="369">
        <v>1931.64</v>
      </c>
    </row>
    <row r="1016" spans="32:34">
      <c r="AF1016" s="367">
        <f t="shared" si="15"/>
        <v>40817</v>
      </c>
      <c r="AG1016" s="368">
        <v>40826</v>
      </c>
      <c r="AH1016" s="369">
        <v>1931.64</v>
      </c>
    </row>
    <row r="1017" spans="32:34">
      <c r="AF1017" s="367">
        <f t="shared" si="15"/>
        <v>40817</v>
      </c>
      <c r="AG1017" s="368">
        <v>40827</v>
      </c>
      <c r="AH1017" s="369">
        <v>1931.64</v>
      </c>
    </row>
    <row r="1018" spans="32:34">
      <c r="AF1018" s="367">
        <f t="shared" si="15"/>
        <v>40817</v>
      </c>
      <c r="AG1018" s="368">
        <v>40828</v>
      </c>
      <c r="AH1018" s="369">
        <v>1913.6</v>
      </c>
    </row>
    <row r="1019" spans="32:34">
      <c r="AF1019" s="367">
        <f t="shared" si="15"/>
        <v>40817</v>
      </c>
      <c r="AG1019" s="368">
        <v>40829</v>
      </c>
      <c r="AH1019" s="369">
        <v>1896.72</v>
      </c>
    </row>
    <row r="1020" spans="32:34">
      <c r="AF1020" s="367">
        <f t="shared" si="15"/>
        <v>40817</v>
      </c>
      <c r="AG1020" s="368">
        <v>40830</v>
      </c>
      <c r="AH1020" s="369">
        <v>1909.12</v>
      </c>
    </row>
    <row r="1021" spans="32:34">
      <c r="AF1021" s="367">
        <f t="shared" si="15"/>
        <v>40817</v>
      </c>
      <c r="AG1021" s="368">
        <v>40831</v>
      </c>
      <c r="AH1021" s="369">
        <v>1895.33</v>
      </c>
    </row>
    <row r="1022" spans="32:34">
      <c r="AF1022" s="367">
        <f t="shared" si="15"/>
        <v>40817</v>
      </c>
      <c r="AG1022" s="368">
        <v>40832</v>
      </c>
      <c r="AH1022" s="369">
        <v>1895.33</v>
      </c>
    </row>
    <row r="1023" spans="32:34">
      <c r="AF1023" s="367">
        <f t="shared" si="15"/>
        <v>40817</v>
      </c>
      <c r="AG1023" s="368">
        <v>40833</v>
      </c>
      <c r="AH1023" s="369">
        <v>1895.33</v>
      </c>
    </row>
    <row r="1024" spans="32:34">
      <c r="AF1024" s="367">
        <f t="shared" si="15"/>
        <v>40817</v>
      </c>
      <c r="AG1024" s="368">
        <v>40834</v>
      </c>
      <c r="AH1024" s="369">
        <v>1895.33</v>
      </c>
    </row>
    <row r="1025" spans="32:34">
      <c r="AF1025" s="367">
        <f t="shared" si="15"/>
        <v>40817</v>
      </c>
      <c r="AG1025" s="368">
        <v>40835</v>
      </c>
      <c r="AH1025" s="369">
        <v>1902.47</v>
      </c>
    </row>
    <row r="1026" spans="32:34">
      <c r="AF1026" s="367">
        <f t="shared" si="15"/>
        <v>40817</v>
      </c>
      <c r="AG1026" s="368">
        <v>40836</v>
      </c>
      <c r="AH1026" s="369">
        <v>1900.1</v>
      </c>
    </row>
    <row r="1027" spans="32:34">
      <c r="AF1027" s="367">
        <f t="shared" si="15"/>
        <v>40817</v>
      </c>
      <c r="AG1027" s="368">
        <v>40837</v>
      </c>
      <c r="AH1027" s="369">
        <v>1905.95</v>
      </c>
    </row>
    <row r="1028" spans="32:34">
      <c r="AF1028" s="367">
        <f t="shared" ref="AF1028:AF1091" si="16">+DATE(YEAR(AG1028),MONTH(AG1028),1)</f>
        <v>40817</v>
      </c>
      <c r="AG1028" s="368">
        <v>40838</v>
      </c>
      <c r="AH1028" s="369">
        <v>1897.45</v>
      </c>
    </row>
    <row r="1029" spans="32:34">
      <c r="AF1029" s="367">
        <f t="shared" si="16"/>
        <v>40817</v>
      </c>
      <c r="AG1029" s="368">
        <v>40839</v>
      </c>
      <c r="AH1029" s="369">
        <v>1897.45</v>
      </c>
    </row>
    <row r="1030" spans="32:34">
      <c r="AF1030" s="367">
        <f t="shared" si="16"/>
        <v>40817</v>
      </c>
      <c r="AG1030" s="368">
        <v>40840</v>
      </c>
      <c r="AH1030" s="369">
        <v>1897.45</v>
      </c>
    </row>
    <row r="1031" spans="32:34">
      <c r="AF1031" s="367">
        <f t="shared" si="16"/>
        <v>40817</v>
      </c>
      <c r="AG1031" s="368">
        <v>40841</v>
      </c>
      <c r="AH1031" s="369">
        <v>1878.78</v>
      </c>
    </row>
    <row r="1032" spans="32:34">
      <c r="AF1032" s="367">
        <f t="shared" si="16"/>
        <v>40817</v>
      </c>
      <c r="AG1032" s="368">
        <v>40842</v>
      </c>
      <c r="AH1032" s="369">
        <v>1875.55</v>
      </c>
    </row>
    <row r="1033" spans="32:34">
      <c r="AF1033" s="367">
        <f t="shared" si="16"/>
        <v>40817</v>
      </c>
      <c r="AG1033" s="368">
        <v>40843</v>
      </c>
      <c r="AH1033" s="369">
        <v>1878.1</v>
      </c>
    </row>
    <row r="1034" spans="32:34">
      <c r="AF1034" s="367">
        <f t="shared" si="16"/>
        <v>40817</v>
      </c>
      <c r="AG1034" s="368">
        <v>40844</v>
      </c>
      <c r="AH1034" s="369">
        <v>1862.84</v>
      </c>
    </row>
    <row r="1035" spans="32:34">
      <c r="AF1035" s="367">
        <f t="shared" si="16"/>
        <v>40817</v>
      </c>
      <c r="AG1035" s="368">
        <v>40845</v>
      </c>
      <c r="AH1035" s="369">
        <v>1863.06</v>
      </c>
    </row>
    <row r="1036" spans="32:34">
      <c r="AF1036" s="367">
        <f t="shared" si="16"/>
        <v>40817</v>
      </c>
      <c r="AG1036" s="368">
        <v>40846</v>
      </c>
      <c r="AH1036" s="369">
        <v>1863.06</v>
      </c>
    </row>
    <row r="1037" spans="32:34">
      <c r="AF1037" s="367">
        <f t="shared" si="16"/>
        <v>40817</v>
      </c>
      <c r="AG1037" s="368">
        <v>40847</v>
      </c>
      <c r="AH1037" s="369">
        <v>1863.06</v>
      </c>
    </row>
    <row r="1038" spans="32:34">
      <c r="AF1038" s="367">
        <f t="shared" si="16"/>
        <v>40848</v>
      </c>
      <c r="AG1038" s="368">
        <v>40848</v>
      </c>
      <c r="AH1038" s="369">
        <v>1871.49</v>
      </c>
    </row>
    <row r="1039" spans="32:34">
      <c r="AF1039" s="367">
        <f t="shared" si="16"/>
        <v>40848</v>
      </c>
      <c r="AG1039" s="368">
        <v>40849</v>
      </c>
      <c r="AH1039" s="369">
        <v>1891.38</v>
      </c>
    </row>
    <row r="1040" spans="32:34">
      <c r="AF1040" s="367">
        <f t="shared" si="16"/>
        <v>40848</v>
      </c>
      <c r="AG1040" s="368">
        <v>40850</v>
      </c>
      <c r="AH1040" s="369">
        <v>1889.66</v>
      </c>
    </row>
    <row r="1041" spans="32:34">
      <c r="AF1041" s="367">
        <f t="shared" si="16"/>
        <v>40848</v>
      </c>
      <c r="AG1041" s="368">
        <v>40851</v>
      </c>
      <c r="AH1041" s="369">
        <v>1905.38</v>
      </c>
    </row>
    <row r="1042" spans="32:34">
      <c r="AF1042" s="367">
        <f t="shared" si="16"/>
        <v>40848</v>
      </c>
      <c r="AG1042" s="368">
        <v>40852</v>
      </c>
      <c r="AH1042" s="369">
        <v>1915.72</v>
      </c>
    </row>
    <row r="1043" spans="32:34">
      <c r="AF1043" s="367">
        <f t="shared" si="16"/>
        <v>40848</v>
      </c>
      <c r="AG1043" s="368">
        <v>40853</v>
      </c>
      <c r="AH1043" s="369">
        <v>1915.72</v>
      </c>
    </row>
    <row r="1044" spans="32:34">
      <c r="AF1044" s="367">
        <f t="shared" si="16"/>
        <v>40848</v>
      </c>
      <c r="AG1044" s="368">
        <v>40854</v>
      </c>
      <c r="AH1044" s="369">
        <v>1915.72</v>
      </c>
    </row>
    <row r="1045" spans="32:34">
      <c r="AF1045" s="367">
        <f t="shared" si="16"/>
        <v>40848</v>
      </c>
      <c r="AG1045" s="368">
        <v>40855</v>
      </c>
      <c r="AH1045" s="369">
        <v>1915.72</v>
      </c>
    </row>
    <row r="1046" spans="32:34">
      <c r="AF1046" s="367">
        <f t="shared" si="16"/>
        <v>40848</v>
      </c>
      <c r="AG1046" s="368">
        <v>40856</v>
      </c>
      <c r="AH1046" s="369">
        <v>1908.71</v>
      </c>
    </row>
    <row r="1047" spans="32:34">
      <c r="AF1047" s="367">
        <f t="shared" si="16"/>
        <v>40848</v>
      </c>
      <c r="AG1047" s="368">
        <v>40857</v>
      </c>
      <c r="AH1047" s="369">
        <v>1917.69</v>
      </c>
    </row>
    <row r="1048" spans="32:34">
      <c r="AF1048" s="367">
        <f t="shared" si="16"/>
        <v>40848</v>
      </c>
      <c r="AG1048" s="368">
        <v>40858</v>
      </c>
      <c r="AH1048" s="369">
        <v>1913.65</v>
      </c>
    </row>
    <row r="1049" spans="32:34">
      <c r="AF1049" s="367">
        <f t="shared" si="16"/>
        <v>40848</v>
      </c>
      <c r="AG1049" s="368">
        <v>40859</v>
      </c>
      <c r="AH1049" s="369">
        <v>1913.65</v>
      </c>
    </row>
    <row r="1050" spans="32:34">
      <c r="AF1050" s="367">
        <f t="shared" si="16"/>
        <v>40848</v>
      </c>
      <c r="AG1050" s="368">
        <v>40860</v>
      </c>
      <c r="AH1050" s="369">
        <v>1913.65</v>
      </c>
    </row>
    <row r="1051" spans="32:34">
      <c r="AF1051" s="367">
        <f t="shared" si="16"/>
        <v>40848</v>
      </c>
      <c r="AG1051" s="368">
        <v>40861</v>
      </c>
      <c r="AH1051" s="369">
        <v>1913.65</v>
      </c>
    </row>
    <row r="1052" spans="32:34">
      <c r="AF1052" s="367">
        <f t="shared" si="16"/>
        <v>40848</v>
      </c>
      <c r="AG1052" s="368">
        <v>40862</v>
      </c>
      <c r="AH1052" s="369">
        <v>1913.65</v>
      </c>
    </row>
    <row r="1053" spans="32:34">
      <c r="AF1053" s="367">
        <f t="shared" si="16"/>
        <v>40848</v>
      </c>
      <c r="AG1053" s="368">
        <v>40863</v>
      </c>
      <c r="AH1053" s="369">
        <v>1915.41</v>
      </c>
    </row>
    <row r="1054" spans="32:34">
      <c r="AF1054" s="367">
        <f t="shared" si="16"/>
        <v>40848</v>
      </c>
      <c r="AG1054" s="368">
        <v>40864</v>
      </c>
      <c r="AH1054" s="369">
        <v>1912.2</v>
      </c>
    </row>
    <row r="1055" spans="32:34">
      <c r="AF1055" s="367">
        <f t="shared" si="16"/>
        <v>40848</v>
      </c>
      <c r="AG1055" s="368">
        <v>40865</v>
      </c>
      <c r="AH1055" s="369">
        <v>1910.83</v>
      </c>
    </row>
    <row r="1056" spans="32:34">
      <c r="AF1056" s="367">
        <f t="shared" si="16"/>
        <v>40848</v>
      </c>
      <c r="AG1056" s="368">
        <v>40866</v>
      </c>
      <c r="AH1056" s="369">
        <v>1917.45</v>
      </c>
    </row>
    <row r="1057" spans="32:34">
      <c r="AF1057" s="367">
        <f t="shared" si="16"/>
        <v>40848</v>
      </c>
      <c r="AG1057" s="368">
        <v>40867</v>
      </c>
      <c r="AH1057" s="369">
        <v>1917.45</v>
      </c>
    </row>
    <row r="1058" spans="32:34">
      <c r="AF1058" s="367">
        <f t="shared" si="16"/>
        <v>40848</v>
      </c>
      <c r="AG1058" s="368">
        <v>40868</v>
      </c>
      <c r="AH1058" s="369">
        <v>1917.45</v>
      </c>
    </row>
    <row r="1059" spans="32:34">
      <c r="AF1059" s="367">
        <f t="shared" si="16"/>
        <v>40848</v>
      </c>
      <c r="AG1059" s="368">
        <v>40869</v>
      </c>
      <c r="AH1059" s="369">
        <v>1928.47</v>
      </c>
    </row>
    <row r="1060" spans="32:34">
      <c r="AF1060" s="367">
        <f t="shared" si="16"/>
        <v>40848</v>
      </c>
      <c r="AG1060" s="368">
        <v>40870</v>
      </c>
      <c r="AH1060" s="369">
        <v>1925.39</v>
      </c>
    </row>
    <row r="1061" spans="32:34">
      <c r="AF1061" s="367">
        <f t="shared" si="16"/>
        <v>40848</v>
      </c>
      <c r="AG1061" s="368">
        <v>40871</v>
      </c>
      <c r="AH1061" s="369">
        <v>1932.63</v>
      </c>
    </row>
    <row r="1062" spans="32:34">
      <c r="AF1062" s="367">
        <f t="shared" si="16"/>
        <v>40848</v>
      </c>
      <c r="AG1062" s="368">
        <v>40872</v>
      </c>
      <c r="AH1062" s="369">
        <v>1932.63</v>
      </c>
    </row>
    <row r="1063" spans="32:34">
      <c r="AF1063" s="367">
        <f t="shared" si="16"/>
        <v>40848</v>
      </c>
      <c r="AG1063" s="368">
        <v>40873</v>
      </c>
      <c r="AH1063" s="369">
        <v>1948.48</v>
      </c>
    </row>
    <row r="1064" spans="32:34">
      <c r="AF1064" s="367">
        <f t="shared" si="16"/>
        <v>40848</v>
      </c>
      <c r="AG1064" s="368">
        <v>40874</v>
      </c>
      <c r="AH1064" s="369">
        <v>1948.48</v>
      </c>
    </row>
    <row r="1065" spans="32:34">
      <c r="AF1065" s="367">
        <f t="shared" si="16"/>
        <v>40848</v>
      </c>
      <c r="AG1065" s="368">
        <v>40875</v>
      </c>
      <c r="AH1065" s="369">
        <v>1948.48</v>
      </c>
    </row>
    <row r="1066" spans="32:34">
      <c r="AF1066" s="367">
        <f t="shared" si="16"/>
        <v>40848</v>
      </c>
      <c r="AG1066" s="368">
        <v>40876</v>
      </c>
      <c r="AH1066" s="369">
        <v>1946.28</v>
      </c>
    </row>
    <row r="1067" spans="32:34">
      <c r="AF1067" s="367">
        <f t="shared" si="16"/>
        <v>40848</v>
      </c>
      <c r="AG1067" s="368">
        <v>40877</v>
      </c>
      <c r="AH1067" s="369">
        <v>1967.18</v>
      </c>
    </row>
    <row r="1068" spans="32:34">
      <c r="AF1068" s="367">
        <f t="shared" si="16"/>
        <v>40878</v>
      </c>
      <c r="AG1068" s="368">
        <v>40878</v>
      </c>
      <c r="AH1068" s="369">
        <v>1948.51</v>
      </c>
    </row>
    <row r="1069" spans="32:34">
      <c r="AF1069" s="367">
        <f t="shared" si="16"/>
        <v>40878</v>
      </c>
      <c r="AG1069" s="368">
        <v>40879</v>
      </c>
      <c r="AH1069" s="369">
        <v>1949.56</v>
      </c>
    </row>
    <row r="1070" spans="32:34">
      <c r="AF1070" s="367">
        <f t="shared" si="16"/>
        <v>40878</v>
      </c>
      <c r="AG1070" s="368">
        <v>40880</v>
      </c>
      <c r="AH1070" s="369">
        <v>1938.83</v>
      </c>
    </row>
    <row r="1071" spans="32:34">
      <c r="AF1071" s="367">
        <f t="shared" si="16"/>
        <v>40878</v>
      </c>
      <c r="AG1071" s="368">
        <v>40881</v>
      </c>
      <c r="AH1071" s="369">
        <v>1938.83</v>
      </c>
    </row>
    <row r="1072" spans="32:34">
      <c r="AF1072" s="367">
        <f t="shared" si="16"/>
        <v>40878</v>
      </c>
      <c r="AG1072" s="368">
        <v>40882</v>
      </c>
      <c r="AH1072" s="369">
        <v>1938.83</v>
      </c>
    </row>
    <row r="1073" spans="32:34">
      <c r="AF1073" s="367">
        <f t="shared" si="16"/>
        <v>40878</v>
      </c>
      <c r="AG1073" s="368">
        <v>40883</v>
      </c>
      <c r="AH1073" s="369">
        <v>1936.29</v>
      </c>
    </row>
    <row r="1074" spans="32:34">
      <c r="AF1074" s="367">
        <f t="shared" si="16"/>
        <v>40878</v>
      </c>
      <c r="AG1074" s="368">
        <v>40884</v>
      </c>
      <c r="AH1074" s="369">
        <v>1936.11</v>
      </c>
    </row>
    <row r="1075" spans="32:34">
      <c r="AF1075" s="367">
        <f t="shared" si="16"/>
        <v>40878</v>
      </c>
      <c r="AG1075" s="368">
        <v>40885</v>
      </c>
      <c r="AH1075" s="369">
        <v>1930.57</v>
      </c>
    </row>
    <row r="1076" spans="32:34">
      <c r="AF1076" s="367">
        <f t="shared" si="16"/>
        <v>40878</v>
      </c>
      <c r="AG1076" s="368">
        <v>40886</v>
      </c>
      <c r="AH1076" s="369">
        <v>1930.57</v>
      </c>
    </row>
    <row r="1077" spans="32:34">
      <c r="AF1077" s="367">
        <f t="shared" si="16"/>
        <v>40878</v>
      </c>
      <c r="AG1077" s="368">
        <v>40887</v>
      </c>
      <c r="AH1077" s="369">
        <v>1927.1</v>
      </c>
    </row>
    <row r="1078" spans="32:34">
      <c r="AF1078" s="367">
        <f t="shared" si="16"/>
        <v>40878</v>
      </c>
      <c r="AG1078" s="368">
        <v>40888</v>
      </c>
      <c r="AH1078" s="369">
        <v>1927.1</v>
      </c>
    </row>
    <row r="1079" spans="32:34">
      <c r="AF1079" s="367">
        <f t="shared" si="16"/>
        <v>40878</v>
      </c>
      <c r="AG1079" s="368">
        <v>40889</v>
      </c>
      <c r="AH1079" s="369">
        <v>1927.1</v>
      </c>
    </row>
    <row r="1080" spans="32:34">
      <c r="AF1080" s="367">
        <f t="shared" si="16"/>
        <v>40878</v>
      </c>
      <c r="AG1080" s="368">
        <v>40890</v>
      </c>
      <c r="AH1080" s="369">
        <v>1932.3</v>
      </c>
    </row>
    <row r="1081" spans="32:34">
      <c r="AF1081" s="367">
        <f t="shared" si="16"/>
        <v>40878</v>
      </c>
      <c r="AG1081" s="368">
        <v>40891</v>
      </c>
      <c r="AH1081" s="369">
        <v>1929.01</v>
      </c>
    </row>
    <row r="1082" spans="32:34">
      <c r="AF1082" s="367">
        <f t="shared" si="16"/>
        <v>40878</v>
      </c>
      <c r="AG1082" s="368">
        <v>40892</v>
      </c>
      <c r="AH1082" s="369">
        <v>1937.6</v>
      </c>
    </row>
    <row r="1083" spans="32:34">
      <c r="AF1083" s="367">
        <f t="shared" si="16"/>
        <v>40878</v>
      </c>
      <c r="AG1083" s="368">
        <v>40893</v>
      </c>
      <c r="AH1083" s="369">
        <v>1935.96</v>
      </c>
    </row>
    <row r="1084" spans="32:34">
      <c r="AF1084" s="367">
        <f t="shared" si="16"/>
        <v>40878</v>
      </c>
      <c r="AG1084" s="368">
        <v>40894</v>
      </c>
      <c r="AH1084" s="369">
        <v>1935.64</v>
      </c>
    </row>
    <row r="1085" spans="32:34">
      <c r="AF1085" s="367">
        <f t="shared" si="16"/>
        <v>40878</v>
      </c>
      <c r="AG1085" s="368">
        <v>40895</v>
      </c>
      <c r="AH1085" s="369">
        <v>1935.64</v>
      </c>
    </row>
    <row r="1086" spans="32:34">
      <c r="AF1086" s="367">
        <f t="shared" si="16"/>
        <v>40878</v>
      </c>
      <c r="AG1086" s="368">
        <v>40896</v>
      </c>
      <c r="AH1086" s="369">
        <v>1935.64</v>
      </c>
    </row>
    <row r="1087" spans="32:34">
      <c r="AF1087" s="367">
        <f t="shared" si="16"/>
        <v>40878</v>
      </c>
      <c r="AG1087" s="368">
        <v>40897</v>
      </c>
      <c r="AH1087" s="369">
        <v>1939.39</v>
      </c>
    </row>
    <row r="1088" spans="32:34">
      <c r="AF1088" s="367">
        <f t="shared" si="16"/>
        <v>40878</v>
      </c>
      <c r="AG1088" s="368">
        <v>40898</v>
      </c>
      <c r="AH1088" s="369">
        <v>1932.08</v>
      </c>
    </row>
    <row r="1089" spans="32:34">
      <c r="AF1089" s="367">
        <f t="shared" si="16"/>
        <v>40878</v>
      </c>
      <c r="AG1089" s="368">
        <v>40899</v>
      </c>
      <c r="AH1089" s="369">
        <v>1935.72</v>
      </c>
    </row>
    <row r="1090" spans="32:34">
      <c r="AF1090" s="367">
        <f t="shared" si="16"/>
        <v>40878</v>
      </c>
      <c r="AG1090" s="368">
        <v>40900</v>
      </c>
      <c r="AH1090" s="369">
        <v>1927.71</v>
      </c>
    </row>
    <row r="1091" spans="32:34">
      <c r="AF1091" s="367">
        <f t="shared" si="16"/>
        <v>40878</v>
      </c>
      <c r="AG1091" s="368">
        <v>40901</v>
      </c>
      <c r="AH1091" s="369">
        <v>1920.93</v>
      </c>
    </row>
    <row r="1092" spans="32:34">
      <c r="AF1092" s="367">
        <f t="shared" ref="AF1092:AF1155" si="17">+DATE(YEAR(AG1092),MONTH(AG1092),1)</f>
        <v>40878</v>
      </c>
      <c r="AG1092" s="368">
        <v>40902</v>
      </c>
      <c r="AH1092" s="369">
        <v>1920.93</v>
      </c>
    </row>
    <row r="1093" spans="32:34">
      <c r="AF1093" s="367">
        <f t="shared" si="17"/>
        <v>40878</v>
      </c>
      <c r="AG1093" s="368">
        <v>40903</v>
      </c>
      <c r="AH1093" s="369">
        <v>1920.93</v>
      </c>
    </row>
    <row r="1094" spans="32:34">
      <c r="AF1094" s="367">
        <f t="shared" si="17"/>
        <v>40878</v>
      </c>
      <c r="AG1094" s="368">
        <v>40904</v>
      </c>
      <c r="AH1094" s="369">
        <v>1920.93</v>
      </c>
    </row>
    <row r="1095" spans="32:34">
      <c r="AF1095" s="367">
        <f t="shared" si="17"/>
        <v>40878</v>
      </c>
      <c r="AG1095" s="368">
        <v>40905</v>
      </c>
      <c r="AH1095" s="369">
        <v>1920.16</v>
      </c>
    </row>
    <row r="1096" spans="32:34">
      <c r="AF1096" s="367">
        <f t="shared" si="17"/>
        <v>40878</v>
      </c>
      <c r="AG1096" s="368">
        <v>40906</v>
      </c>
      <c r="AH1096" s="369">
        <v>1938.52</v>
      </c>
    </row>
    <row r="1097" spans="32:34">
      <c r="AF1097" s="367">
        <f t="shared" si="17"/>
        <v>40878</v>
      </c>
      <c r="AG1097" s="368">
        <v>40907</v>
      </c>
      <c r="AH1097" s="369">
        <v>1942.7</v>
      </c>
    </row>
    <row r="1098" spans="32:34">
      <c r="AF1098" s="367">
        <f t="shared" si="17"/>
        <v>40878</v>
      </c>
      <c r="AG1098" s="368">
        <v>40908</v>
      </c>
      <c r="AH1098" s="369">
        <v>1942.7</v>
      </c>
    </row>
    <row r="1099" spans="32:34">
      <c r="AF1099" s="367">
        <f t="shared" si="17"/>
        <v>40909</v>
      </c>
      <c r="AG1099" s="368">
        <v>40909</v>
      </c>
      <c r="AH1099" s="369">
        <v>1942.7</v>
      </c>
    </row>
    <row r="1100" spans="32:34">
      <c r="AF1100" s="367">
        <f t="shared" si="17"/>
        <v>40909</v>
      </c>
      <c r="AG1100" s="368">
        <v>40910</v>
      </c>
      <c r="AH1100" s="369">
        <v>1942.7</v>
      </c>
    </row>
    <row r="1101" spans="32:34">
      <c r="AF1101" s="367">
        <f t="shared" si="17"/>
        <v>40909</v>
      </c>
      <c r="AG1101" s="368">
        <v>40911</v>
      </c>
      <c r="AH1101" s="369">
        <v>1942.7</v>
      </c>
    </row>
    <row r="1102" spans="32:34">
      <c r="AF1102" s="367">
        <f t="shared" si="17"/>
        <v>40909</v>
      </c>
      <c r="AG1102" s="368">
        <v>40912</v>
      </c>
      <c r="AH1102" s="369">
        <v>1915.02</v>
      </c>
    </row>
    <row r="1103" spans="32:34">
      <c r="AF1103" s="367">
        <f t="shared" si="17"/>
        <v>40909</v>
      </c>
      <c r="AG1103" s="368">
        <v>40913</v>
      </c>
      <c r="AH1103" s="369">
        <v>1898.24</v>
      </c>
    </row>
    <row r="1104" spans="32:34">
      <c r="AF1104" s="367">
        <f t="shared" si="17"/>
        <v>40909</v>
      </c>
      <c r="AG1104" s="368">
        <v>40914</v>
      </c>
      <c r="AH1104" s="369">
        <v>1884.44</v>
      </c>
    </row>
    <row r="1105" spans="32:34">
      <c r="AF1105" s="367">
        <f t="shared" si="17"/>
        <v>40909</v>
      </c>
      <c r="AG1105" s="368">
        <v>40915</v>
      </c>
      <c r="AH1105" s="369">
        <v>1884.47</v>
      </c>
    </row>
    <row r="1106" spans="32:34">
      <c r="AF1106" s="367">
        <f t="shared" si="17"/>
        <v>40909</v>
      </c>
      <c r="AG1106" s="368">
        <v>40916</v>
      </c>
      <c r="AH1106" s="369">
        <v>1884.47</v>
      </c>
    </row>
    <row r="1107" spans="32:34">
      <c r="AF1107" s="367">
        <f t="shared" si="17"/>
        <v>40909</v>
      </c>
      <c r="AG1107" s="368">
        <v>40917</v>
      </c>
      <c r="AH1107" s="369">
        <v>1884.47</v>
      </c>
    </row>
    <row r="1108" spans="32:34">
      <c r="AF1108" s="367">
        <f t="shared" si="17"/>
        <v>40909</v>
      </c>
      <c r="AG1108" s="368">
        <v>40918</v>
      </c>
      <c r="AH1108" s="369">
        <v>1884.47</v>
      </c>
    </row>
    <row r="1109" spans="32:34">
      <c r="AF1109" s="367">
        <f t="shared" si="17"/>
        <v>40909</v>
      </c>
      <c r="AG1109" s="368">
        <v>40919</v>
      </c>
      <c r="AH1109" s="369">
        <v>1865.07</v>
      </c>
    </row>
    <row r="1110" spans="32:34">
      <c r="AF1110" s="367">
        <f t="shared" si="17"/>
        <v>40909</v>
      </c>
      <c r="AG1110" s="368">
        <v>40920</v>
      </c>
      <c r="AH1110" s="369">
        <v>1854.17</v>
      </c>
    </row>
    <row r="1111" spans="32:34">
      <c r="AF1111" s="367">
        <f t="shared" si="17"/>
        <v>40909</v>
      </c>
      <c r="AG1111" s="368">
        <v>40921</v>
      </c>
      <c r="AH1111" s="369">
        <v>1842.47</v>
      </c>
    </row>
    <row r="1112" spans="32:34">
      <c r="AF1112" s="367">
        <f t="shared" si="17"/>
        <v>40909</v>
      </c>
      <c r="AG1112" s="368">
        <v>40922</v>
      </c>
      <c r="AH1112" s="369">
        <v>1841.31</v>
      </c>
    </row>
    <row r="1113" spans="32:34">
      <c r="AF1113" s="367">
        <f t="shared" si="17"/>
        <v>40909</v>
      </c>
      <c r="AG1113" s="368">
        <v>40923</v>
      </c>
      <c r="AH1113" s="369">
        <v>1841.31</v>
      </c>
    </row>
    <row r="1114" spans="32:34">
      <c r="AF1114" s="367">
        <f t="shared" si="17"/>
        <v>40909</v>
      </c>
      <c r="AG1114" s="368">
        <v>40924</v>
      </c>
      <c r="AH1114" s="369">
        <v>1841.31</v>
      </c>
    </row>
    <row r="1115" spans="32:34">
      <c r="AF1115" s="367">
        <f t="shared" si="17"/>
        <v>40909</v>
      </c>
      <c r="AG1115" s="368">
        <v>40925</v>
      </c>
      <c r="AH1115" s="369">
        <v>1841.31</v>
      </c>
    </row>
    <row r="1116" spans="32:34">
      <c r="AF1116" s="367">
        <f t="shared" si="17"/>
        <v>40909</v>
      </c>
      <c r="AG1116" s="368">
        <v>40926</v>
      </c>
      <c r="AH1116" s="369">
        <v>1836.34</v>
      </c>
    </row>
    <row r="1117" spans="32:34">
      <c r="AF1117" s="367">
        <f t="shared" si="17"/>
        <v>40909</v>
      </c>
      <c r="AG1117" s="368">
        <v>40927</v>
      </c>
      <c r="AH1117" s="369">
        <v>1827.24</v>
      </c>
    </row>
    <row r="1118" spans="32:34">
      <c r="AF1118" s="367">
        <f t="shared" si="17"/>
        <v>40909</v>
      </c>
      <c r="AG1118" s="368">
        <v>40928</v>
      </c>
      <c r="AH1118" s="369">
        <v>1821.86</v>
      </c>
    </row>
    <row r="1119" spans="32:34">
      <c r="AF1119" s="367">
        <f t="shared" si="17"/>
        <v>40909</v>
      </c>
      <c r="AG1119" s="368">
        <v>40929</v>
      </c>
      <c r="AH1119" s="369">
        <v>1828.75</v>
      </c>
    </row>
    <row r="1120" spans="32:34">
      <c r="AF1120" s="367">
        <f t="shared" si="17"/>
        <v>40909</v>
      </c>
      <c r="AG1120" s="368">
        <v>40930</v>
      </c>
      <c r="AH1120" s="369">
        <v>1828.75</v>
      </c>
    </row>
    <row r="1121" spans="32:34">
      <c r="AF1121" s="367">
        <f t="shared" si="17"/>
        <v>40909</v>
      </c>
      <c r="AG1121" s="368">
        <v>40931</v>
      </c>
      <c r="AH1121" s="369">
        <v>1828.75</v>
      </c>
    </row>
    <row r="1122" spans="32:34">
      <c r="AF1122" s="367">
        <f t="shared" si="17"/>
        <v>40909</v>
      </c>
      <c r="AG1122" s="368">
        <v>40932</v>
      </c>
      <c r="AH1122" s="369">
        <v>1811.55</v>
      </c>
    </row>
    <row r="1123" spans="32:34">
      <c r="AF1123" s="367">
        <f t="shared" si="17"/>
        <v>40909</v>
      </c>
      <c r="AG1123" s="368">
        <v>40933</v>
      </c>
      <c r="AH1123" s="369">
        <v>1814.58</v>
      </c>
    </row>
    <row r="1124" spans="32:34">
      <c r="AF1124" s="367">
        <f t="shared" si="17"/>
        <v>40909</v>
      </c>
      <c r="AG1124" s="368">
        <v>40934</v>
      </c>
      <c r="AH1124" s="369">
        <v>1814.69</v>
      </c>
    </row>
    <row r="1125" spans="32:34">
      <c r="AF1125" s="367">
        <f t="shared" si="17"/>
        <v>40909</v>
      </c>
      <c r="AG1125" s="368">
        <v>40935</v>
      </c>
      <c r="AH1125" s="369">
        <v>1801.88</v>
      </c>
    </row>
    <row r="1126" spans="32:34">
      <c r="AF1126" s="367">
        <f t="shared" si="17"/>
        <v>40909</v>
      </c>
      <c r="AG1126" s="368">
        <v>40936</v>
      </c>
      <c r="AH1126" s="369">
        <v>1810.55</v>
      </c>
    </row>
    <row r="1127" spans="32:34">
      <c r="AF1127" s="367">
        <f t="shared" si="17"/>
        <v>40909</v>
      </c>
      <c r="AG1127" s="368">
        <v>40937</v>
      </c>
      <c r="AH1127" s="369">
        <v>1810.55</v>
      </c>
    </row>
    <row r="1128" spans="32:34">
      <c r="AF1128" s="367">
        <f t="shared" si="17"/>
        <v>40909</v>
      </c>
      <c r="AG1128" s="368">
        <v>40938</v>
      </c>
      <c r="AH1128" s="369">
        <v>1810.55</v>
      </c>
    </row>
    <row r="1129" spans="32:34">
      <c r="AF1129" s="367">
        <f t="shared" si="17"/>
        <v>40909</v>
      </c>
      <c r="AG1129" s="368">
        <v>40939</v>
      </c>
      <c r="AH1129" s="369">
        <v>1815.08</v>
      </c>
    </row>
    <row r="1130" spans="32:34">
      <c r="AF1130" s="367">
        <f t="shared" si="17"/>
        <v>40940</v>
      </c>
      <c r="AG1130" s="368">
        <v>40940</v>
      </c>
      <c r="AH1130" s="369">
        <v>1805.98</v>
      </c>
    </row>
    <row r="1131" spans="32:34">
      <c r="AF1131" s="367">
        <f t="shared" si="17"/>
        <v>40940</v>
      </c>
      <c r="AG1131" s="368">
        <v>40941</v>
      </c>
      <c r="AH1131" s="369">
        <v>1797.68</v>
      </c>
    </row>
    <row r="1132" spans="32:34">
      <c r="AF1132" s="367">
        <f t="shared" si="17"/>
        <v>40940</v>
      </c>
      <c r="AG1132" s="368">
        <v>40942</v>
      </c>
      <c r="AH1132" s="369">
        <v>1795.55</v>
      </c>
    </row>
    <row r="1133" spans="32:34">
      <c r="AF1133" s="367">
        <f t="shared" si="17"/>
        <v>40940</v>
      </c>
      <c r="AG1133" s="368">
        <v>40943</v>
      </c>
      <c r="AH1133" s="369">
        <v>1784.77</v>
      </c>
    </row>
    <row r="1134" spans="32:34">
      <c r="AF1134" s="367">
        <f t="shared" si="17"/>
        <v>40940</v>
      </c>
      <c r="AG1134" s="368">
        <v>40944</v>
      </c>
      <c r="AH1134" s="369">
        <v>1784.77</v>
      </c>
    </row>
    <row r="1135" spans="32:34">
      <c r="AF1135" s="367">
        <f t="shared" si="17"/>
        <v>40940</v>
      </c>
      <c r="AG1135" s="368">
        <v>40945</v>
      </c>
      <c r="AH1135" s="369">
        <v>1784.77</v>
      </c>
    </row>
    <row r="1136" spans="32:34">
      <c r="AF1136" s="367">
        <f t="shared" si="17"/>
        <v>40940</v>
      </c>
      <c r="AG1136" s="368">
        <v>40946</v>
      </c>
      <c r="AH1136" s="369">
        <v>1787.96</v>
      </c>
    </row>
    <row r="1137" spans="32:34">
      <c r="AF1137" s="367">
        <f t="shared" si="17"/>
        <v>40940</v>
      </c>
      <c r="AG1137" s="368">
        <v>40947</v>
      </c>
      <c r="AH1137" s="369">
        <v>1783.34</v>
      </c>
    </row>
    <row r="1138" spans="32:34">
      <c r="AF1138" s="367">
        <f t="shared" si="17"/>
        <v>40940</v>
      </c>
      <c r="AG1138" s="368">
        <v>40948</v>
      </c>
      <c r="AH1138" s="369">
        <v>1778.9</v>
      </c>
    </row>
    <row r="1139" spans="32:34">
      <c r="AF1139" s="367">
        <f t="shared" si="17"/>
        <v>40940</v>
      </c>
      <c r="AG1139" s="368">
        <v>40949</v>
      </c>
      <c r="AH1139" s="369">
        <v>1774.96</v>
      </c>
    </row>
    <row r="1140" spans="32:34">
      <c r="AF1140" s="367">
        <f t="shared" si="17"/>
        <v>40940</v>
      </c>
      <c r="AG1140" s="368">
        <v>40950</v>
      </c>
      <c r="AH1140" s="369">
        <v>1785.59</v>
      </c>
    </row>
    <row r="1141" spans="32:34">
      <c r="AF1141" s="367">
        <f t="shared" si="17"/>
        <v>40940</v>
      </c>
      <c r="AG1141" s="368">
        <v>40951</v>
      </c>
      <c r="AH1141" s="369">
        <v>1785.59</v>
      </c>
    </row>
    <row r="1142" spans="32:34">
      <c r="AF1142" s="367">
        <f t="shared" si="17"/>
        <v>40940</v>
      </c>
      <c r="AG1142" s="368">
        <v>40952</v>
      </c>
      <c r="AH1142" s="369">
        <v>1785.59</v>
      </c>
    </row>
    <row r="1143" spans="32:34">
      <c r="AF1143" s="367">
        <f t="shared" si="17"/>
        <v>40940</v>
      </c>
      <c r="AG1143" s="368">
        <v>40953</v>
      </c>
      <c r="AH1143" s="369">
        <v>1778.12</v>
      </c>
    </row>
    <row r="1144" spans="32:34">
      <c r="AF1144" s="367">
        <f t="shared" si="17"/>
        <v>40940</v>
      </c>
      <c r="AG1144" s="368">
        <v>40954</v>
      </c>
      <c r="AH1144" s="369">
        <v>1785.24</v>
      </c>
    </row>
    <row r="1145" spans="32:34">
      <c r="AF1145" s="367">
        <f t="shared" si="17"/>
        <v>40940</v>
      </c>
      <c r="AG1145" s="368">
        <v>40955</v>
      </c>
      <c r="AH1145" s="369">
        <v>1791.29</v>
      </c>
    </row>
    <row r="1146" spans="32:34">
      <c r="AF1146" s="367">
        <f t="shared" si="17"/>
        <v>40940</v>
      </c>
      <c r="AG1146" s="368">
        <v>40956</v>
      </c>
      <c r="AH1146" s="369">
        <v>1792.92</v>
      </c>
    </row>
    <row r="1147" spans="32:34">
      <c r="AF1147" s="367">
        <f t="shared" si="17"/>
        <v>40940</v>
      </c>
      <c r="AG1147" s="368">
        <v>40957</v>
      </c>
      <c r="AH1147" s="369">
        <v>1779.81</v>
      </c>
    </row>
    <row r="1148" spans="32:34">
      <c r="AF1148" s="367">
        <f t="shared" si="17"/>
        <v>40940</v>
      </c>
      <c r="AG1148" s="368">
        <v>40958</v>
      </c>
      <c r="AH1148" s="369">
        <v>1779.81</v>
      </c>
    </row>
    <row r="1149" spans="32:34">
      <c r="AF1149" s="367">
        <f t="shared" si="17"/>
        <v>40940</v>
      </c>
      <c r="AG1149" s="368">
        <v>40959</v>
      </c>
      <c r="AH1149" s="369">
        <v>1779.81</v>
      </c>
    </row>
    <row r="1150" spans="32:34">
      <c r="AF1150" s="367">
        <f t="shared" si="17"/>
        <v>40940</v>
      </c>
      <c r="AG1150" s="368">
        <v>40960</v>
      </c>
      <c r="AH1150" s="369">
        <v>1779.81</v>
      </c>
    </row>
    <row r="1151" spans="32:34">
      <c r="AF1151" s="367">
        <f t="shared" si="17"/>
        <v>40940</v>
      </c>
      <c r="AG1151" s="368">
        <v>40961</v>
      </c>
      <c r="AH1151" s="369">
        <v>1777.59</v>
      </c>
    </row>
    <row r="1152" spans="32:34">
      <c r="AF1152" s="367">
        <f t="shared" si="17"/>
        <v>40940</v>
      </c>
      <c r="AG1152" s="368">
        <v>40962</v>
      </c>
      <c r="AH1152" s="369">
        <v>1781.57</v>
      </c>
    </row>
    <row r="1153" spans="32:34">
      <c r="AF1153" s="367">
        <f t="shared" si="17"/>
        <v>40940</v>
      </c>
      <c r="AG1153" s="368">
        <v>40963</v>
      </c>
      <c r="AH1153" s="369">
        <v>1776.11</v>
      </c>
    </row>
    <row r="1154" spans="32:34">
      <c r="AF1154" s="367">
        <f t="shared" si="17"/>
        <v>40940</v>
      </c>
      <c r="AG1154" s="368">
        <v>40964</v>
      </c>
      <c r="AH1154" s="369">
        <v>1772.42</v>
      </c>
    </row>
    <row r="1155" spans="32:34">
      <c r="AF1155" s="367">
        <f t="shared" si="17"/>
        <v>40940</v>
      </c>
      <c r="AG1155" s="368">
        <v>40965</v>
      </c>
      <c r="AH1155" s="369">
        <v>1772.42</v>
      </c>
    </row>
    <row r="1156" spans="32:34">
      <c r="AF1156" s="367">
        <f t="shared" ref="AF1156:AF1219" si="18">+DATE(YEAR(AG1156),MONTH(AG1156),1)</f>
        <v>40940</v>
      </c>
      <c r="AG1156" s="368">
        <v>40966</v>
      </c>
      <c r="AH1156" s="369">
        <v>1772.42</v>
      </c>
    </row>
    <row r="1157" spans="32:34">
      <c r="AF1157" s="367">
        <f t="shared" si="18"/>
        <v>40940</v>
      </c>
      <c r="AG1157" s="368">
        <v>40967</v>
      </c>
      <c r="AH1157" s="369">
        <v>1777.27</v>
      </c>
    </row>
    <row r="1158" spans="32:34">
      <c r="AF1158" s="367">
        <f t="shared" si="18"/>
        <v>40940</v>
      </c>
      <c r="AG1158" s="368">
        <v>40968</v>
      </c>
      <c r="AH1158" s="369">
        <v>1767.83</v>
      </c>
    </row>
    <row r="1159" spans="32:34">
      <c r="AF1159" s="367">
        <f t="shared" si="18"/>
        <v>40969</v>
      </c>
      <c r="AG1159" s="368">
        <v>40969</v>
      </c>
      <c r="AH1159" s="369">
        <v>1766.85</v>
      </c>
    </row>
    <row r="1160" spans="32:34">
      <c r="AF1160" s="367">
        <f t="shared" si="18"/>
        <v>40969</v>
      </c>
      <c r="AG1160" s="368">
        <v>40970</v>
      </c>
      <c r="AH1160" s="369">
        <v>1770.7</v>
      </c>
    </row>
    <row r="1161" spans="32:34">
      <c r="AF1161" s="367">
        <f t="shared" si="18"/>
        <v>40969</v>
      </c>
      <c r="AG1161" s="368">
        <v>40971</v>
      </c>
      <c r="AH1161" s="369">
        <v>1775.69</v>
      </c>
    </row>
    <row r="1162" spans="32:34">
      <c r="AF1162" s="367">
        <f t="shared" si="18"/>
        <v>40969</v>
      </c>
      <c r="AG1162" s="368">
        <v>40972</v>
      </c>
      <c r="AH1162" s="369">
        <v>1775.69</v>
      </c>
    </row>
    <row r="1163" spans="32:34">
      <c r="AF1163" s="367">
        <f t="shared" si="18"/>
        <v>40969</v>
      </c>
      <c r="AG1163" s="368">
        <v>40973</v>
      </c>
      <c r="AH1163" s="369">
        <v>1775.69</v>
      </c>
    </row>
    <row r="1164" spans="32:34">
      <c r="AF1164" s="367">
        <f t="shared" si="18"/>
        <v>40969</v>
      </c>
      <c r="AG1164" s="368">
        <v>40974</v>
      </c>
      <c r="AH1164" s="369">
        <v>1774.03</v>
      </c>
    </row>
    <row r="1165" spans="32:34">
      <c r="AF1165" s="367">
        <f t="shared" si="18"/>
        <v>40969</v>
      </c>
      <c r="AG1165" s="368">
        <v>40975</v>
      </c>
      <c r="AH1165" s="369">
        <v>1779.32</v>
      </c>
    </row>
    <row r="1166" spans="32:34">
      <c r="AF1166" s="367">
        <f t="shared" si="18"/>
        <v>40969</v>
      </c>
      <c r="AG1166" s="368">
        <v>40976</v>
      </c>
      <c r="AH1166" s="369">
        <v>1773.88</v>
      </c>
    </row>
    <row r="1167" spans="32:34">
      <c r="AF1167" s="367">
        <f t="shared" si="18"/>
        <v>40969</v>
      </c>
      <c r="AG1167" s="368">
        <v>40977</v>
      </c>
      <c r="AH1167" s="369">
        <v>1765.06</v>
      </c>
    </row>
    <row r="1168" spans="32:34">
      <c r="AF1168" s="367">
        <f t="shared" si="18"/>
        <v>40969</v>
      </c>
      <c r="AG1168" s="368">
        <v>40978</v>
      </c>
      <c r="AH1168" s="369">
        <v>1762.08</v>
      </c>
    </row>
    <row r="1169" spans="32:34">
      <c r="AF1169" s="367">
        <f t="shared" si="18"/>
        <v>40969</v>
      </c>
      <c r="AG1169" s="368">
        <v>40979</v>
      </c>
      <c r="AH1169" s="369">
        <v>1762.08</v>
      </c>
    </row>
    <row r="1170" spans="32:34">
      <c r="AF1170" s="367">
        <f t="shared" si="18"/>
        <v>40969</v>
      </c>
      <c r="AG1170" s="368">
        <v>40980</v>
      </c>
      <c r="AH1170" s="369">
        <v>1762.08</v>
      </c>
    </row>
    <row r="1171" spans="32:34">
      <c r="AF1171" s="367">
        <f t="shared" si="18"/>
        <v>40969</v>
      </c>
      <c r="AG1171" s="368">
        <v>40981</v>
      </c>
      <c r="AH1171" s="369">
        <v>1766.1</v>
      </c>
    </row>
    <row r="1172" spans="32:34">
      <c r="AF1172" s="367">
        <f t="shared" si="18"/>
        <v>40969</v>
      </c>
      <c r="AG1172" s="368">
        <v>40982</v>
      </c>
      <c r="AH1172" s="369">
        <v>1760.77</v>
      </c>
    </row>
    <row r="1173" spans="32:34">
      <c r="AF1173" s="367">
        <f t="shared" si="18"/>
        <v>40969</v>
      </c>
      <c r="AG1173" s="368">
        <v>40983</v>
      </c>
      <c r="AH1173" s="369">
        <v>1761.04</v>
      </c>
    </row>
    <row r="1174" spans="32:34">
      <c r="AF1174" s="367">
        <f t="shared" si="18"/>
        <v>40969</v>
      </c>
      <c r="AG1174" s="368">
        <v>40984</v>
      </c>
      <c r="AH1174" s="369">
        <v>1761.02</v>
      </c>
    </row>
    <row r="1175" spans="32:34">
      <c r="AF1175" s="367">
        <f t="shared" si="18"/>
        <v>40969</v>
      </c>
      <c r="AG1175" s="368">
        <v>40985</v>
      </c>
      <c r="AH1175" s="369">
        <v>1758.38</v>
      </c>
    </row>
    <row r="1176" spans="32:34">
      <c r="AF1176" s="367">
        <f t="shared" si="18"/>
        <v>40969</v>
      </c>
      <c r="AG1176" s="368">
        <v>40986</v>
      </c>
      <c r="AH1176" s="369">
        <v>1758.38</v>
      </c>
    </row>
    <row r="1177" spans="32:34">
      <c r="AF1177" s="367">
        <f t="shared" si="18"/>
        <v>40969</v>
      </c>
      <c r="AG1177" s="368">
        <v>40987</v>
      </c>
      <c r="AH1177" s="369">
        <v>1758.38</v>
      </c>
    </row>
    <row r="1178" spans="32:34">
      <c r="AF1178" s="367">
        <f t="shared" si="18"/>
        <v>40969</v>
      </c>
      <c r="AG1178" s="368">
        <v>40988</v>
      </c>
      <c r="AH1178" s="369">
        <v>1758.38</v>
      </c>
    </row>
    <row r="1179" spans="32:34">
      <c r="AF1179" s="367">
        <f t="shared" si="18"/>
        <v>40969</v>
      </c>
      <c r="AG1179" s="368">
        <v>40989</v>
      </c>
      <c r="AH1179" s="369">
        <v>1759.78</v>
      </c>
    </row>
    <row r="1180" spans="32:34">
      <c r="AF1180" s="367">
        <f t="shared" si="18"/>
        <v>40969</v>
      </c>
      <c r="AG1180" s="368">
        <v>40990</v>
      </c>
      <c r="AH1180" s="369">
        <v>1758.03</v>
      </c>
    </row>
    <row r="1181" spans="32:34">
      <c r="AF1181" s="367">
        <f t="shared" si="18"/>
        <v>40969</v>
      </c>
      <c r="AG1181" s="368">
        <v>40991</v>
      </c>
      <c r="AH1181" s="369">
        <v>1761.87</v>
      </c>
    </row>
    <row r="1182" spans="32:34">
      <c r="AF1182" s="367">
        <f t="shared" si="18"/>
        <v>40969</v>
      </c>
      <c r="AG1182" s="368">
        <v>40992</v>
      </c>
      <c r="AH1182" s="369">
        <v>1760.17</v>
      </c>
    </row>
    <row r="1183" spans="32:34">
      <c r="AF1183" s="367">
        <f t="shared" si="18"/>
        <v>40969</v>
      </c>
      <c r="AG1183" s="368">
        <v>40993</v>
      </c>
      <c r="AH1183" s="369">
        <v>1760.17</v>
      </c>
    </row>
    <row r="1184" spans="32:34">
      <c r="AF1184" s="367">
        <f t="shared" si="18"/>
        <v>40969</v>
      </c>
      <c r="AG1184" s="368">
        <v>40994</v>
      </c>
      <c r="AH1184" s="369">
        <v>1760.17</v>
      </c>
    </row>
    <row r="1185" spans="32:34">
      <c r="AF1185" s="367">
        <f t="shared" si="18"/>
        <v>40969</v>
      </c>
      <c r="AG1185" s="368">
        <v>40995</v>
      </c>
      <c r="AH1185" s="369">
        <v>1759.58</v>
      </c>
    </row>
    <row r="1186" spans="32:34">
      <c r="AF1186" s="367">
        <f t="shared" si="18"/>
        <v>40969</v>
      </c>
      <c r="AG1186" s="368">
        <v>40996</v>
      </c>
      <c r="AH1186" s="369">
        <v>1762.93</v>
      </c>
    </row>
    <row r="1187" spans="32:34">
      <c r="AF1187" s="367">
        <f t="shared" si="18"/>
        <v>40969</v>
      </c>
      <c r="AG1187" s="368">
        <v>40997</v>
      </c>
      <c r="AH1187" s="369">
        <v>1771.25</v>
      </c>
    </row>
    <row r="1188" spans="32:34">
      <c r="AF1188" s="367">
        <f t="shared" si="18"/>
        <v>40969</v>
      </c>
      <c r="AG1188" s="368">
        <v>40998</v>
      </c>
      <c r="AH1188" s="369">
        <v>1784.66</v>
      </c>
    </row>
    <row r="1189" spans="32:34">
      <c r="AF1189" s="367">
        <f t="shared" si="18"/>
        <v>40969</v>
      </c>
      <c r="AG1189" s="368">
        <v>40999</v>
      </c>
      <c r="AH1189" s="369">
        <v>1792.07</v>
      </c>
    </row>
    <row r="1190" spans="32:34">
      <c r="AF1190" s="367">
        <f t="shared" si="18"/>
        <v>41000</v>
      </c>
      <c r="AG1190" s="368">
        <v>41000</v>
      </c>
      <c r="AH1190" s="369">
        <v>1792.07</v>
      </c>
    </row>
    <row r="1191" spans="32:34">
      <c r="AF1191" s="367">
        <f t="shared" si="18"/>
        <v>41000</v>
      </c>
      <c r="AG1191" s="368">
        <v>41001</v>
      </c>
      <c r="AH1191" s="369">
        <v>1792.07</v>
      </c>
    </row>
    <row r="1192" spans="32:34">
      <c r="AF1192" s="367">
        <f t="shared" si="18"/>
        <v>41000</v>
      </c>
      <c r="AG1192" s="368">
        <v>41002</v>
      </c>
      <c r="AH1192" s="369">
        <v>1779.13</v>
      </c>
    </row>
    <row r="1193" spans="32:34">
      <c r="AF1193" s="367">
        <f t="shared" si="18"/>
        <v>41000</v>
      </c>
      <c r="AG1193" s="368">
        <v>41003</v>
      </c>
      <c r="AH1193" s="369">
        <v>1767.84</v>
      </c>
    </row>
    <row r="1194" spans="32:34">
      <c r="AF1194" s="367">
        <f t="shared" si="18"/>
        <v>41000</v>
      </c>
      <c r="AG1194" s="368">
        <v>41004</v>
      </c>
      <c r="AH1194" s="369">
        <v>1772.58</v>
      </c>
    </row>
    <row r="1195" spans="32:34">
      <c r="AF1195" s="367">
        <f t="shared" si="18"/>
        <v>41000</v>
      </c>
      <c r="AG1195" s="368">
        <v>41005</v>
      </c>
      <c r="AH1195" s="369">
        <v>1772.58</v>
      </c>
    </row>
    <row r="1196" spans="32:34">
      <c r="AF1196" s="367">
        <f t="shared" si="18"/>
        <v>41000</v>
      </c>
      <c r="AG1196" s="368">
        <v>41006</v>
      </c>
      <c r="AH1196" s="369">
        <v>1772.58</v>
      </c>
    </row>
    <row r="1197" spans="32:34">
      <c r="AF1197" s="367">
        <f t="shared" si="18"/>
        <v>41000</v>
      </c>
      <c r="AG1197" s="368">
        <v>41007</v>
      </c>
      <c r="AH1197" s="369">
        <v>1772.58</v>
      </c>
    </row>
    <row r="1198" spans="32:34">
      <c r="AF1198" s="367">
        <f t="shared" si="18"/>
        <v>41000</v>
      </c>
      <c r="AG1198" s="368">
        <v>41008</v>
      </c>
      <c r="AH1198" s="369">
        <v>1772.58</v>
      </c>
    </row>
    <row r="1199" spans="32:34">
      <c r="AF1199" s="367">
        <f t="shared" si="18"/>
        <v>41000</v>
      </c>
      <c r="AG1199" s="368">
        <v>41009</v>
      </c>
      <c r="AH1199" s="369">
        <v>1779.53</v>
      </c>
    </row>
    <row r="1200" spans="32:34">
      <c r="AF1200" s="367">
        <f t="shared" si="18"/>
        <v>41000</v>
      </c>
      <c r="AG1200" s="368">
        <v>41010</v>
      </c>
      <c r="AH1200" s="369">
        <v>1793.3</v>
      </c>
    </row>
    <row r="1201" spans="32:34">
      <c r="AF1201" s="367">
        <f t="shared" si="18"/>
        <v>41000</v>
      </c>
      <c r="AG1201" s="368">
        <v>41011</v>
      </c>
      <c r="AH1201" s="369">
        <v>1787.66</v>
      </c>
    </row>
    <row r="1202" spans="32:34">
      <c r="AF1202" s="367">
        <f t="shared" si="18"/>
        <v>41000</v>
      </c>
      <c r="AG1202" s="368">
        <v>41012</v>
      </c>
      <c r="AH1202" s="369">
        <v>1778.78</v>
      </c>
    </row>
    <row r="1203" spans="32:34">
      <c r="AF1203" s="367">
        <f t="shared" si="18"/>
        <v>41000</v>
      </c>
      <c r="AG1203" s="368">
        <v>41013</v>
      </c>
      <c r="AH1203" s="369">
        <v>1777.12</v>
      </c>
    </row>
    <row r="1204" spans="32:34">
      <c r="AF1204" s="367">
        <f t="shared" si="18"/>
        <v>41000</v>
      </c>
      <c r="AG1204" s="368">
        <v>41014</v>
      </c>
      <c r="AH1204" s="369">
        <v>1777.12</v>
      </c>
    </row>
    <row r="1205" spans="32:34">
      <c r="AF1205" s="367">
        <f t="shared" si="18"/>
        <v>41000</v>
      </c>
      <c r="AG1205" s="368">
        <v>41015</v>
      </c>
      <c r="AH1205" s="369">
        <v>1777.12</v>
      </c>
    </row>
    <row r="1206" spans="32:34">
      <c r="AF1206" s="367">
        <f t="shared" si="18"/>
        <v>41000</v>
      </c>
      <c r="AG1206" s="368">
        <v>41016</v>
      </c>
      <c r="AH1206" s="369">
        <v>1775.67</v>
      </c>
    </row>
    <row r="1207" spans="32:34">
      <c r="AF1207" s="367">
        <f t="shared" si="18"/>
        <v>41000</v>
      </c>
      <c r="AG1207" s="368">
        <v>41017</v>
      </c>
      <c r="AH1207" s="369">
        <v>1769.07</v>
      </c>
    </row>
    <row r="1208" spans="32:34">
      <c r="AF1208" s="367">
        <f t="shared" si="18"/>
        <v>41000</v>
      </c>
      <c r="AG1208" s="368">
        <v>41018</v>
      </c>
      <c r="AH1208" s="369">
        <v>1774.21</v>
      </c>
    </row>
    <row r="1209" spans="32:34">
      <c r="AF1209" s="367">
        <f t="shared" si="18"/>
        <v>41000</v>
      </c>
      <c r="AG1209" s="368">
        <v>41019</v>
      </c>
      <c r="AH1209" s="369">
        <v>1776.06</v>
      </c>
    </row>
    <row r="1210" spans="32:34">
      <c r="AF1210" s="367">
        <f t="shared" si="18"/>
        <v>41000</v>
      </c>
      <c r="AG1210" s="368">
        <v>41020</v>
      </c>
      <c r="AH1210" s="369">
        <v>1771.13</v>
      </c>
    </row>
    <row r="1211" spans="32:34">
      <c r="AF1211" s="367">
        <f t="shared" si="18"/>
        <v>41000</v>
      </c>
      <c r="AG1211" s="368">
        <v>41021</v>
      </c>
      <c r="AH1211" s="369">
        <v>1771.13</v>
      </c>
    </row>
    <row r="1212" spans="32:34">
      <c r="AF1212" s="367">
        <f t="shared" si="18"/>
        <v>41000</v>
      </c>
      <c r="AG1212" s="368">
        <v>41022</v>
      </c>
      <c r="AH1212" s="369">
        <v>1771.13</v>
      </c>
    </row>
    <row r="1213" spans="32:34">
      <c r="AF1213" s="367">
        <f t="shared" si="18"/>
        <v>41000</v>
      </c>
      <c r="AG1213" s="368">
        <v>41023</v>
      </c>
      <c r="AH1213" s="369">
        <v>1774.44</v>
      </c>
    </row>
    <row r="1214" spans="32:34">
      <c r="AF1214" s="367">
        <f t="shared" si="18"/>
        <v>41000</v>
      </c>
      <c r="AG1214" s="368">
        <v>41024</v>
      </c>
      <c r="AH1214" s="369">
        <v>1767.91</v>
      </c>
    </row>
    <row r="1215" spans="32:34">
      <c r="AF1215" s="367">
        <f t="shared" si="18"/>
        <v>41000</v>
      </c>
      <c r="AG1215" s="368">
        <v>41025</v>
      </c>
      <c r="AH1215" s="369">
        <v>1763.85</v>
      </c>
    </row>
    <row r="1216" spans="32:34">
      <c r="AF1216" s="367">
        <f t="shared" si="18"/>
        <v>41000</v>
      </c>
      <c r="AG1216" s="368">
        <v>41026</v>
      </c>
      <c r="AH1216" s="369">
        <v>1764.63</v>
      </c>
    </row>
    <row r="1217" spans="32:34">
      <c r="AF1217" s="367">
        <f t="shared" si="18"/>
        <v>41000</v>
      </c>
      <c r="AG1217" s="368">
        <v>41027</v>
      </c>
      <c r="AH1217" s="369">
        <v>1761.2</v>
      </c>
    </row>
    <row r="1218" spans="32:34">
      <c r="AF1218" s="367">
        <f t="shared" si="18"/>
        <v>41000</v>
      </c>
      <c r="AG1218" s="368">
        <v>41028</v>
      </c>
      <c r="AH1218" s="369">
        <v>1761.2</v>
      </c>
    </row>
    <row r="1219" spans="32:34">
      <c r="AF1219" s="367">
        <f t="shared" si="18"/>
        <v>41000</v>
      </c>
      <c r="AG1219" s="368">
        <v>41029</v>
      </c>
      <c r="AH1219" s="369">
        <v>1761.2</v>
      </c>
    </row>
    <row r="1220" spans="32:34">
      <c r="AF1220" s="367">
        <f t="shared" ref="AF1220:AF1283" si="19">+DATE(YEAR(AG1220),MONTH(AG1220),1)</f>
        <v>41030</v>
      </c>
      <c r="AG1220" s="368">
        <v>41030</v>
      </c>
      <c r="AH1220" s="369">
        <v>1764</v>
      </c>
    </row>
    <row r="1221" spans="32:34">
      <c r="AF1221" s="367">
        <f t="shared" si="19"/>
        <v>41030</v>
      </c>
      <c r="AG1221" s="368">
        <v>41031</v>
      </c>
      <c r="AH1221" s="369">
        <v>1764</v>
      </c>
    </row>
    <row r="1222" spans="32:34">
      <c r="AF1222" s="367">
        <f t="shared" si="19"/>
        <v>41030</v>
      </c>
      <c r="AG1222" s="368">
        <v>41032</v>
      </c>
      <c r="AH1222" s="369">
        <v>1760.12</v>
      </c>
    </row>
    <row r="1223" spans="32:34">
      <c r="AF1223" s="367">
        <f t="shared" si="19"/>
        <v>41030</v>
      </c>
      <c r="AG1223" s="368">
        <v>41033</v>
      </c>
      <c r="AH1223" s="369">
        <v>1754.89</v>
      </c>
    </row>
    <row r="1224" spans="32:34">
      <c r="AF1224" s="367">
        <f t="shared" si="19"/>
        <v>41030</v>
      </c>
      <c r="AG1224" s="368">
        <v>41034</v>
      </c>
      <c r="AH1224" s="369">
        <v>1757.24</v>
      </c>
    </row>
    <row r="1225" spans="32:34">
      <c r="AF1225" s="367">
        <f t="shared" si="19"/>
        <v>41030</v>
      </c>
      <c r="AG1225" s="368">
        <v>41035</v>
      </c>
      <c r="AH1225" s="369">
        <v>1757.24</v>
      </c>
    </row>
    <row r="1226" spans="32:34">
      <c r="AF1226" s="367">
        <f t="shared" si="19"/>
        <v>41030</v>
      </c>
      <c r="AG1226" s="368">
        <v>41036</v>
      </c>
      <c r="AH1226" s="369">
        <v>1757.24</v>
      </c>
    </row>
    <row r="1227" spans="32:34">
      <c r="AF1227" s="367">
        <f t="shared" si="19"/>
        <v>41030</v>
      </c>
      <c r="AG1227" s="368">
        <v>41037</v>
      </c>
      <c r="AH1227" s="369">
        <v>1759.12</v>
      </c>
    </row>
    <row r="1228" spans="32:34">
      <c r="AF1228" s="367">
        <f t="shared" si="19"/>
        <v>41030</v>
      </c>
      <c r="AG1228" s="368">
        <v>41038</v>
      </c>
      <c r="AH1228" s="369">
        <v>1760.6</v>
      </c>
    </row>
    <row r="1229" spans="32:34">
      <c r="AF1229" s="367">
        <f t="shared" si="19"/>
        <v>41030</v>
      </c>
      <c r="AG1229" s="368">
        <v>41039</v>
      </c>
      <c r="AH1229" s="369">
        <v>1775.96</v>
      </c>
    </row>
    <row r="1230" spans="32:34">
      <c r="AF1230" s="367">
        <f t="shared" si="19"/>
        <v>41030</v>
      </c>
      <c r="AG1230" s="368">
        <v>41040</v>
      </c>
      <c r="AH1230" s="369">
        <v>1765</v>
      </c>
    </row>
    <row r="1231" spans="32:34">
      <c r="AF1231" s="367">
        <f t="shared" si="19"/>
        <v>41030</v>
      </c>
      <c r="AG1231" s="368">
        <v>41041</v>
      </c>
      <c r="AH1231" s="369">
        <v>1764.69</v>
      </c>
    </row>
    <row r="1232" spans="32:34">
      <c r="AF1232" s="367">
        <f t="shared" si="19"/>
        <v>41030</v>
      </c>
      <c r="AG1232" s="368">
        <v>41042</v>
      </c>
      <c r="AH1232" s="369">
        <v>1764.69</v>
      </c>
    </row>
    <row r="1233" spans="32:34">
      <c r="AF1233" s="367">
        <f t="shared" si="19"/>
        <v>41030</v>
      </c>
      <c r="AG1233" s="368">
        <v>41043</v>
      </c>
      <c r="AH1233" s="369">
        <v>1764.69</v>
      </c>
    </row>
    <row r="1234" spans="32:34">
      <c r="AF1234" s="367">
        <f t="shared" si="19"/>
        <v>41030</v>
      </c>
      <c r="AG1234" s="368">
        <v>41044</v>
      </c>
      <c r="AH1234" s="369">
        <v>1771.6</v>
      </c>
    </row>
    <row r="1235" spans="32:34">
      <c r="AF1235" s="367">
        <f t="shared" si="19"/>
        <v>41030</v>
      </c>
      <c r="AG1235" s="368">
        <v>41045</v>
      </c>
      <c r="AH1235" s="369">
        <v>1778.37</v>
      </c>
    </row>
    <row r="1236" spans="32:34">
      <c r="AF1236" s="367">
        <f t="shared" si="19"/>
        <v>41030</v>
      </c>
      <c r="AG1236" s="368">
        <v>41046</v>
      </c>
      <c r="AH1236" s="369">
        <v>1793.61</v>
      </c>
    </row>
    <row r="1237" spans="32:34">
      <c r="AF1237" s="367">
        <f t="shared" si="19"/>
        <v>41030</v>
      </c>
      <c r="AG1237" s="368">
        <v>41047</v>
      </c>
      <c r="AH1237" s="369">
        <v>1804.92</v>
      </c>
    </row>
    <row r="1238" spans="32:34">
      <c r="AF1238" s="367">
        <f t="shared" si="19"/>
        <v>41030</v>
      </c>
      <c r="AG1238" s="368">
        <v>41048</v>
      </c>
      <c r="AH1238" s="369">
        <v>1814.46</v>
      </c>
    </row>
    <row r="1239" spans="32:34">
      <c r="AF1239" s="367">
        <f t="shared" si="19"/>
        <v>41030</v>
      </c>
      <c r="AG1239" s="368">
        <v>41049</v>
      </c>
      <c r="AH1239" s="369">
        <v>1814.46</v>
      </c>
    </row>
    <row r="1240" spans="32:34">
      <c r="AF1240" s="367">
        <f t="shared" si="19"/>
        <v>41030</v>
      </c>
      <c r="AG1240" s="368">
        <v>41050</v>
      </c>
      <c r="AH1240" s="369">
        <v>1814.46</v>
      </c>
    </row>
    <row r="1241" spans="32:34">
      <c r="AF1241" s="367">
        <f t="shared" si="19"/>
        <v>41030</v>
      </c>
      <c r="AG1241" s="368">
        <v>41051</v>
      </c>
      <c r="AH1241" s="369">
        <v>1814.46</v>
      </c>
    </row>
    <row r="1242" spans="32:34">
      <c r="AF1242" s="367">
        <f t="shared" si="19"/>
        <v>41030</v>
      </c>
      <c r="AG1242" s="368">
        <v>41052</v>
      </c>
      <c r="AH1242" s="369">
        <v>1824.73</v>
      </c>
    </row>
    <row r="1243" spans="32:34">
      <c r="AF1243" s="367">
        <f t="shared" si="19"/>
        <v>41030</v>
      </c>
      <c r="AG1243" s="368">
        <v>41053</v>
      </c>
      <c r="AH1243" s="369">
        <v>1845.17</v>
      </c>
    </row>
    <row r="1244" spans="32:34">
      <c r="AF1244" s="367">
        <f t="shared" si="19"/>
        <v>41030</v>
      </c>
      <c r="AG1244" s="368">
        <v>41054</v>
      </c>
      <c r="AH1244" s="369">
        <v>1836.45</v>
      </c>
    </row>
    <row r="1245" spans="32:34">
      <c r="AF1245" s="367">
        <f t="shared" si="19"/>
        <v>41030</v>
      </c>
      <c r="AG1245" s="368">
        <v>41055</v>
      </c>
      <c r="AH1245" s="369">
        <v>1840.69</v>
      </c>
    </row>
    <row r="1246" spans="32:34">
      <c r="AF1246" s="367">
        <f t="shared" si="19"/>
        <v>41030</v>
      </c>
      <c r="AG1246" s="368">
        <v>41056</v>
      </c>
      <c r="AH1246" s="369">
        <v>1840.69</v>
      </c>
    </row>
    <row r="1247" spans="32:34">
      <c r="AF1247" s="367">
        <f t="shared" si="19"/>
        <v>41030</v>
      </c>
      <c r="AG1247" s="368">
        <v>41057</v>
      </c>
      <c r="AH1247" s="369">
        <v>1840.69</v>
      </c>
    </row>
    <row r="1248" spans="32:34">
      <c r="AF1248" s="367">
        <f t="shared" si="19"/>
        <v>41030</v>
      </c>
      <c r="AG1248" s="368">
        <v>41058</v>
      </c>
      <c r="AH1248" s="369">
        <v>1840.69</v>
      </c>
    </row>
    <row r="1249" spans="32:34">
      <c r="AF1249" s="367">
        <f t="shared" si="19"/>
        <v>41030</v>
      </c>
      <c r="AG1249" s="368">
        <v>41059</v>
      </c>
      <c r="AH1249" s="369">
        <v>1818.82</v>
      </c>
    </row>
    <row r="1250" spans="32:34">
      <c r="AF1250" s="367">
        <f t="shared" si="19"/>
        <v>41030</v>
      </c>
      <c r="AG1250" s="368">
        <v>41060</v>
      </c>
      <c r="AH1250" s="369">
        <v>1827.83</v>
      </c>
    </row>
    <row r="1251" spans="32:34">
      <c r="AF1251" s="367">
        <f t="shared" si="19"/>
        <v>41061</v>
      </c>
      <c r="AG1251" s="368">
        <v>41061</v>
      </c>
      <c r="AH1251" s="369">
        <v>1833.8</v>
      </c>
    </row>
    <row r="1252" spans="32:34">
      <c r="AF1252" s="367">
        <f t="shared" si="19"/>
        <v>41061</v>
      </c>
      <c r="AG1252" s="368">
        <v>41062</v>
      </c>
      <c r="AH1252" s="369">
        <v>1834.71</v>
      </c>
    </row>
    <row r="1253" spans="32:34">
      <c r="AF1253" s="367">
        <f t="shared" si="19"/>
        <v>41061</v>
      </c>
      <c r="AG1253" s="368">
        <v>41063</v>
      </c>
      <c r="AH1253" s="369">
        <v>1834.71</v>
      </c>
    </row>
    <row r="1254" spans="32:34">
      <c r="AF1254" s="367">
        <f t="shared" si="19"/>
        <v>41061</v>
      </c>
      <c r="AG1254" s="368">
        <v>41064</v>
      </c>
      <c r="AH1254" s="369">
        <v>1834.71</v>
      </c>
    </row>
    <row r="1255" spans="32:34">
      <c r="AF1255" s="367">
        <f t="shared" si="19"/>
        <v>41061</v>
      </c>
      <c r="AG1255" s="368">
        <v>41065</v>
      </c>
      <c r="AH1255" s="369">
        <v>1815.54</v>
      </c>
    </row>
    <row r="1256" spans="32:34">
      <c r="AF1256" s="367">
        <f t="shared" si="19"/>
        <v>41061</v>
      </c>
      <c r="AG1256" s="368">
        <v>41066</v>
      </c>
      <c r="AH1256" s="369">
        <v>1798.85</v>
      </c>
    </row>
    <row r="1257" spans="32:34">
      <c r="AF1257" s="367">
        <f t="shared" si="19"/>
        <v>41061</v>
      </c>
      <c r="AG1257" s="368">
        <v>41067</v>
      </c>
      <c r="AH1257" s="369">
        <v>1782.89</v>
      </c>
    </row>
    <row r="1258" spans="32:34">
      <c r="AF1258" s="367">
        <f t="shared" si="19"/>
        <v>41061</v>
      </c>
      <c r="AG1258" s="368">
        <v>41068</v>
      </c>
      <c r="AH1258" s="369">
        <v>1766.91</v>
      </c>
    </row>
    <row r="1259" spans="32:34">
      <c r="AF1259" s="367">
        <f t="shared" si="19"/>
        <v>41061</v>
      </c>
      <c r="AG1259" s="368">
        <v>41069</v>
      </c>
      <c r="AH1259" s="369">
        <v>1776.26</v>
      </c>
    </row>
    <row r="1260" spans="32:34">
      <c r="AF1260" s="367">
        <f t="shared" si="19"/>
        <v>41061</v>
      </c>
      <c r="AG1260" s="368">
        <v>41070</v>
      </c>
      <c r="AH1260" s="369">
        <v>1776.26</v>
      </c>
    </row>
    <row r="1261" spans="32:34">
      <c r="AF1261" s="367">
        <f t="shared" si="19"/>
        <v>41061</v>
      </c>
      <c r="AG1261" s="368">
        <v>41071</v>
      </c>
      <c r="AH1261" s="369">
        <v>1776.26</v>
      </c>
    </row>
    <row r="1262" spans="32:34">
      <c r="AF1262" s="367">
        <f t="shared" si="19"/>
        <v>41061</v>
      </c>
      <c r="AG1262" s="368">
        <v>41072</v>
      </c>
      <c r="AH1262" s="369">
        <v>1776.26</v>
      </c>
    </row>
    <row r="1263" spans="32:34">
      <c r="AF1263" s="367">
        <f t="shared" si="19"/>
        <v>41061</v>
      </c>
      <c r="AG1263" s="368">
        <v>41073</v>
      </c>
      <c r="AH1263" s="369">
        <v>1776.47</v>
      </c>
    </row>
    <row r="1264" spans="32:34">
      <c r="AF1264" s="367">
        <f t="shared" si="19"/>
        <v>41061</v>
      </c>
      <c r="AG1264" s="368">
        <v>41074</v>
      </c>
      <c r="AH1264" s="369">
        <v>1783.45</v>
      </c>
    </row>
    <row r="1265" spans="32:34">
      <c r="AF1265" s="367">
        <f t="shared" si="19"/>
        <v>41061</v>
      </c>
      <c r="AG1265" s="368">
        <v>41075</v>
      </c>
      <c r="AH1265" s="369">
        <v>1787.63</v>
      </c>
    </row>
    <row r="1266" spans="32:34">
      <c r="AF1266" s="367">
        <f t="shared" si="19"/>
        <v>41061</v>
      </c>
      <c r="AG1266" s="368">
        <v>41076</v>
      </c>
      <c r="AH1266" s="369">
        <v>1786.21</v>
      </c>
    </row>
    <row r="1267" spans="32:34">
      <c r="AF1267" s="367">
        <f t="shared" si="19"/>
        <v>41061</v>
      </c>
      <c r="AG1267" s="368">
        <v>41077</v>
      </c>
      <c r="AH1267" s="369">
        <v>1786.21</v>
      </c>
    </row>
    <row r="1268" spans="32:34">
      <c r="AF1268" s="367">
        <f t="shared" si="19"/>
        <v>41061</v>
      </c>
      <c r="AG1268" s="368">
        <v>41078</v>
      </c>
      <c r="AH1268" s="369">
        <v>1786.21</v>
      </c>
    </row>
    <row r="1269" spans="32:34">
      <c r="AF1269" s="367">
        <f t="shared" si="19"/>
        <v>41061</v>
      </c>
      <c r="AG1269" s="368">
        <v>41079</v>
      </c>
      <c r="AH1269" s="369">
        <v>1786.21</v>
      </c>
    </row>
    <row r="1270" spans="32:34">
      <c r="AF1270" s="367">
        <f t="shared" si="19"/>
        <v>41061</v>
      </c>
      <c r="AG1270" s="368">
        <v>41080</v>
      </c>
      <c r="AH1270" s="369">
        <v>1773.18</v>
      </c>
    </row>
    <row r="1271" spans="32:34">
      <c r="AF1271" s="367">
        <f t="shared" si="19"/>
        <v>41061</v>
      </c>
      <c r="AG1271" s="368">
        <v>41081</v>
      </c>
      <c r="AH1271" s="369">
        <v>1770.38</v>
      </c>
    </row>
    <row r="1272" spans="32:34">
      <c r="AF1272" s="367">
        <f t="shared" si="19"/>
        <v>41061</v>
      </c>
      <c r="AG1272" s="368">
        <v>41082</v>
      </c>
      <c r="AH1272" s="369">
        <v>1775.99</v>
      </c>
    </row>
    <row r="1273" spans="32:34">
      <c r="AF1273" s="367">
        <f t="shared" si="19"/>
        <v>41061</v>
      </c>
      <c r="AG1273" s="368">
        <v>41083</v>
      </c>
      <c r="AH1273" s="369">
        <v>1787.47</v>
      </c>
    </row>
    <row r="1274" spans="32:34">
      <c r="AF1274" s="367">
        <f t="shared" si="19"/>
        <v>41061</v>
      </c>
      <c r="AG1274" s="368">
        <v>41084</v>
      </c>
      <c r="AH1274" s="369">
        <v>1787.47</v>
      </c>
    </row>
    <row r="1275" spans="32:34">
      <c r="AF1275" s="367">
        <f t="shared" si="19"/>
        <v>41061</v>
      </c>
      <c r="AG1275" s="368">
        <v>41085</v>
      </c>
      <c r="AH1275" s="369">
        <v>1787.47</v>
      </c>
    </row>
    <row r="1276" spans="32:34">
      <c r="AF1276" s="367">
        <f t="shared" si="19"/>
        <v>41061</v>
      </c>
      <c r="AG1276" s="368">
        <v>41086</v>
      </c>
      <c r="AH1276" s="369">
        <v>1803.37</v>
      </c>
    </row>
    <row r="1277" spans="32:34">
      <c r="AF1277" s="367">
        <f t="shared" si="19"/>
        <v>41061</v>
      </c>
      <c r="AG1277" s="368">
        <v>41087</v>
      </c>
      <c r="AH1277" s="369">
        <v>1805.14</v>
      </c>
    </row>
    <row r="1278" spans="32:34">
      <c r="AF1278" s="367">
        <f t="shared" si="19"/>
        <v>41061</v>
      </c>
      <c r="AG1278" s="368">
        <v>41088</v>
      </c>
      <c r="AH1278" s="369">
        <v>1796.18</v>
      </c>
    </row>
    <row r="1279" spans="32:34">
      <c r="AF1279" s="367">
        <f t="shared" si="19"/>
        <v>41061</v>
      </c>
      <c r="AG1279" s="368">
        <v>41089</v>
      </c>
      <c r="AH1279" s="369">
        <v>1805.6</v>
      </c>
    </row>
    <row r="1280" spans="32:34">
      <c r="AF1280" s="367">
        <f t="shared" si="19"/>
        <v>41061</v>
      </c>
      <c r="AG1280" s="368">
        <v>41090</v>
      </c>
      <c r="AH1280" s="369">
        <v>1784.6</v>
      </c>
    </row>
    <row r="1281" spans="32:34">
      <c r="AF1281" s="367">
        <f t="shared" si="19"/>
        <v>41091</v>
      </c>
      <c r="AG1281" s="368">
        <v>41091</v>
      </c>
      <c r="AH1281" s="369">
        <v>1784.6</v>
      </c>
    </row>
    <row r="1282" spans="32:34">
      <c r="AF1282" s="367">
        <f t="shared" si="19"/>
        <v>41091</v>
      </c>
      <c r="AG1282" s="368">
        <v>41092</v>
      </c>
      <c r="AH1282" s="369">
        <v>1784.6</v>
      </c>
    </row>
    <row r="1283" spans="32:34">
      <c r="AF1283" s="367">
        <f t="shared" si="19"/>
        <v>41091</v>
      </c>
      <c r="AG1283" s="368">
        <v>41093</v>
      </c>
      <c r="AH1283" s="369">
        <v>1784.6</v>
      </c>
    </row>
    <row r="1284" spans="32:34">
      <c r="AF1284" s="367">
        <f t="shared" ref="AF1284:AF1347" si="20">+DATE(YEAR(AG1284),MONTH(AG1284),1)</f>
        <v>41091</v>
      </c>
      <c r="AG1284" s="368">
        <v>41094</v>
      </c>
      <c r="AH1284" s="369">
        <v>1771.53</v>
      </c>
    </row>
    <row r="1285" spans="32:34">
      <c r="AF1285" s="367">
        <f t="shared" si="20"/>
        <v>41091</v>
      </c>
      <c r="AG1285" s="368">
        <v>41095</v>
      </c>
      <c r="AH1285" s="369">
        <v>1771.53</v>
      </c>
    </row>
    <row r="1286" spans="32:34">
      <c r="AF1286" s="367">
        <f t="shared" si="20"/>
        <v>41091</v>
      </c>
      <c r="AG1286" s="368">
        <v>41096</v>
      </c>
      <c r="AH1286" s="369">
        <v>1774.37</v>
      </c>
    </row>
    <row r="1287" spans="32:34">
      <c r="AF1287" s="367">
        <f t="shared" si="20"/>
        <v>41091</v>
      </c>
      <c r="AG1287" s="368">
        <v>41097</v>
      </c>
      <c r="AH1287" s="369">
        <v>1785.25</v>
      </c>
    </row>
    <row r="1288" spans="32:34">
      <c r="AF1288" s="367">
        <f t="shared" si="20"/>
        <v>41091</v>
      </c>
      <c r="AG1288" s="368">
        <v>41098</v>
      </c>
      <c r="AH1288" s="369">
        <v>1785.25</v>
      </c>
    </row>
    <row r="1289" spans="32:34">
      <c r="AF1289" s="367">
        <f t="shared" si="20"/>
        <v>41091</v>
      </c>
      <c r="AG1289" s="368">
        <v>41099</v>
      </c>
      <c r="AH1289" s="369">
        <v>1785.25</v>
      </c>
    </row>
    <row r="1290" spans="32:34">
      <c r="AF1290" s="367">
        <f t="shared" si="20"/>
        <v>41091</v>
      </c>
      <c r="AG1290" s="368">
        <v>41100</v>
      </c>
      <c r="AH1290" s="369">
        <v>1790.25</v>
      </c>
    </row>
    <row r="1291" spans="32:34">
      <c r="AF1291" s="367">
        <f t="shared" si="20"/>
        <v>41091</v>
      </c>
      <c r="AG1291" s="368">
        <v>41101</v>
      </c>
      <c r="AH1291" s="369">
        <v>1785.06</v>
      </c>
    </row>
    <row r="1292" spans="32:34">
      <c r="AF1292" s="367">
        <f t="shared" si="20"/>
        <v>41091</v>
      </c>
      <c r="AG1292" s="368">
        <v>41102</v>
      </c>
      <c r="AH1292" s="369">
        <v>1787.72</v>
      </c>
    </row>
    <row r="1293" spans="32:34">
      <c r="AF1293" s="367">
        <f t="shared" si="20"/>
        <v>41091</v>
      </c>
      <c r="AG1293" s="368">
        <v>41103</v>
      </c>
      <c r="AH1293" s="369">
        <v>1790.12</v>
      </c>
    </row>
    <row r="1294" spans="32:34">
      <c r="AF1294" s="367">
        <f t="shared" si="20"/>
        <v>41091</v>
      </c>
      <c r="AG1294" s="368">
        <v>41104</v>
      </c>
      <c r="AH1294" s="369">
        <v>1780.21</v>
      </c>
    </row>
    <row r="1295" spans="32:34">
      <c r="AF1295" s="367">
        <f t="shared" si="20"/>
        <v>41091</v>
      </c>
      <c r="AG1295" s="368">
        <v>41105</v>
      </c>
      <c r="AH1295" s="369">
        <v>1780.21</v>
      </c>
    </row>
    <row r="1296" spans="32:34">
      <c r="AF1296" s="367">
        <f t="shared" si="20"/>
        <v>41091</v>
      </c>
      <c r="AG1296" s="368">
        <v>41106</v>
      </c>
      <c r="AH1296" s="369">
        <v>1780.21</v>
      </c>
    </row>
    <row r="1297" spans="32:34">
      <c r="AF1297" s="367">
        <f t="shared" si="20"/>
        <v>41091</v>
      </c>
      <c r="AG1297" s="368">
        <v>41107</v>
      </c>
      <c r="AH1297" s="369">
        <v>1778.42</v>
      </c>
    </row>
    <row r="1298" spans="32:34">
      <c r="AF1298" s="367">
        <f t="shared" si="20"/>
        <v>41091</v>
      </c>
      <c r="AG1298" s="368">
        <v>41108</v>
      </c>
      <c r="AH1298" s="369">
        <v>1778.97</v>
      </c>
    </row>
    <row r="1299" spans="32:34">
      <c r="AF1299" s="367">
        <f t="shared" si="20"/>
        <v>41091</v>
      </c>
      <c r="AG1299" s="368">
        <v>41109</v>
      </c>
      <c r="AH1299" s="369">
        <v>1778.28</v>
      </c>
    </row>
    <row r="1300" spans="32:34">
      <c r="AF1300" s="367">
        <f t="shared" si="20"/>
        <v>41091</v>
      </c>
      <c r="AG1300" s="368">
        <v>41110</v>
      </c>
      <c r="AH1300" s="369">
        <v>1775.8</v>
      </c>
    </row>
    <row r="1301" spans="32:34">
      <c r="AF1301" s="367">
        <f t="shared" si="20"/>
        <v>41091</v>
      </c>
      <c r="AG1301" s="368">
        <v>41111</v>
      </c>
      <c r="AH1301" s="369">
        <v>1775.8</v>
      </c>
    </row>
    <row r="1302" spans="32:34">
      <c r="AF1302" s="367">
        <f t="shared" si="20"/>
        <v>41091</v>
      </c>
      <c r="AG1302" s="368">
        <v>41112</v>
      </c>
      <c r="AH1302" s="369">
        <v>1775.8</v>
      </c>
    </row>
    <row r="1303" spans="32:34">
      <c r="AF1303" s="367">
        <f t="shared" si="20"/>
        <v>41091</v>
      </c>
      <c r="AG1303" s="368">
        <v>41113</v>
      </c>
      <c r="AH1303" s="369">
        <v>1775.8</v>
      </c>
    </row>
    <row r="1304" spans="32:34">
      <c r="AF1304" s="367">
        <f t="shared" si="20"/>
        <v>41091</v>
      </c>
      <c r="AG1304" s="368">
        <v>41114</v>
      </c>
      <c r="AH1304" s="369">
        <v>1790.39</v>
      </c>
    </row>
    <row r="1305" spans="32:34">
      <c r="AF1305" s="367">
        <f t="shared" si="20"/>
        <v>41091</v>
      </c>
      <c r="AG1305" s="368">
        <v>41115</v>
      </c>
      <c r="AH1305" s="369">
        <v>1797.33</v>
      </c>
    </row>
    <row r="1306" spans="32:34">
      <c r="AF1306" s="367">
        <f t="shared" si="20"/>
        <v>41091</v>
      </c>
      <c r="AG1306" s="368">
        <v>41116</v>
      </c>
      <c r="AH1306" s="369">
        <v>1799.48</v>
      </c>
    </row>
    <row r="1307" spans="32:34">
      <c r="AF1307" s="367">
        <f t="shared" si="20"/>
        <v>41091</v>
      </c>
      <c r="AG1307" s="368">
        <v>41117</v>
      </c>
      <c r="AH1307" s="369">
        <v>1789.22</v>
      </c>
    </row>
    <row r="1308" spans="32:34">
      <c r="AF1308" s="367">
        <f t="shared" si="20"/>
        <v>41091</v>
      </c>
      <c r="AG1308" s="368">
        <v>41118</v>
      </c>
      <c r="AH1308" s="369">
        <v>1791.12</v>
      </c>
    </row>
    <row r="1309" spans="32:34">
      <c r="AF1309" s="367">
        <f t="shared" si="20"/>
        <v>41091</v>
      </c>
      <c r="AG1309" s="368">
        <v>41119</v>
      </c>
      <c r="AH1309" s="369">
        <v>1791.12</v>
      </c>
    </row>
    <row r="1310" spans="32:34">
      <c r="AF1310" s="367">
        <f t="shared" si="20"/>
        <v>41091</v>
      </c>
      <c r="AG1310" s="368">
        <v>41120</v>
      </c>
      <c r="AH1310" s="369">
        <v>1791.12</v>
      </c>
    </row>
    <row r="1311" spans="32:34">
      <c r="AF1311" s="367">
        <f t="shared" si="20"/>
        <v>41091</v>
      </c>
      <c r="AG1311" s="368">
        <v>41121</v>
      </c>
      <c r="AH1311" s="369">
        <v>1789.02</v>
      </c>
    </row>
    <row r="1312" spans="32:34">
      <c r="AF1312" s="367">
        <f t="shared" si="20"/>
        <v>41122</v>
      </c>
      <c r="AG1312" s="368">
        <v>41122</v>
      </c>
      <c r="AH1312" s="369">
        <v>1790.74</v>
      </c>
    </row>
    <row r="1313" spans="32:34">
      <c r="AF1313" s="367">
        <f t="shared" si="20"/>
        <v>41122</v>
      </c>
      <c r="AG1313" s="368">
        <v>41123</v>
      </c>
      <c r="AH1313" s="369">
        <v>1787.51</v>
      </c>
    </row>
    <row r="1314" spans="32:34">
      <c r="AF1314" s="367">
        <f t="shared" si="20"/>
        <v>41122</v>
      </c>
      <c r="AG1314" s="368">
        <v>41124</v>
      </c>
      <c r="AH1314" s="369">
        <v>1790.97</v>
      </c>
    </row>
    <row r="1315" spans="32:34">
      <c r="AF1315" s="367">
        <f t="shared" si="20"/>
        <v>41122</v>
      </c>
      <c r="AG1315" s="368">
        <v>41125</v>
      </c>
      <c r="AH1315" s="369">
        <v>1786.06</v>
      </c>
    </row>
    <row r="1316" spans="32:34">
      <c r="AF1316" s="367">
        <f t="shared" si="20"/>
        <v>41122</v>
      </c>
      <c r="AG1316" s="368">
        <v>41126</v>
      </c>
      <c r="AH1316" s="369">
        <v>1786.06</v>
      </c>
    </row>
    <row r="1317" spans="32:34">
      <c r="AF1317" s="367">
        <f t="shared" si="20"/>
        <v>41122</v>
      </c>
      <c r="AG1317" s="368">
        <v>41127</v>
      </c>
      <c r="AH1317" s="369">
        <v>1786.06</v>
      </c>
    </row>
    <row r="1318" spans="32:34">
      <c r="AF1318" s="367">
        <f t="shared" si="20"/>
        <v>41122</v>
      </c>
      <c r="AG1318" s="368">
        <v>41128</v>
      </c>
      <c r="AH1318" s="369">
        <v>1785.29</v>
      </c>
    </row>
    <row r="1319" spans="32:34">
      <c r="AF1319" s="367">
        <f t="shared" si="20"/>
        <v>41122</v>
      </c>
      <c r="AG1319" s="368">
        <v>41129</v>
      </c>
      <c r="AH1319" s="369">
        <v>1785.29</v>
      </c>
    </row>
    <row r="1320" spans="32:34">
      <c r="AF1320" s="367">
        <f t="shared" si="20"/>
        <v>41122</v>
      </c>
      <c r="AG1320" s="368">
        <v>41130</v>
      </c>
      <c r="AH1320" s="369">
        <v>1788.03</v>
      </c>
    </row>
    <row r="1321" spans="32:34">
      <c r="AF1321" s="367">
        <f t="shared" si="20"/>
        <v>41122</v>
      </c>
      <c r="AG1321" s="368">
        <v>41131</v>
      </c>
      <c r="AH1321" s="369">
        <v>1788.08</v>
      </c>
    </row>
    <row r="1322" spans="32:34">
      <c r="AF1322" s="367">
        <f t="shared" si="20"/>
        <v>41122</v>
      </c>
      <c r="AG1322" s="368">
        <v>41132</v>
      </c>
      <c r="AH1322" s="369">
        <v>1791.61</v>
      </c>
    </row>
    <row r="1323" spans="32:34">
      <c r="AF1323" s="367">
        <f t="shared" si="20"/>
        <v>41122</v>
      </c>
      <c r="AG1323" s="368">
        <v>41133</v>
      </c>
      <c r="AH1323" s="369">
        <v>1791.61</v>
      </c>
    </row>
    <row r="1324" spans="32:34">
      <c r="AF1324" s="367">
        <f t="shared" si="20"/>
        <v>41122</v>
      </c>
      <c r="AG1324" s="368">
        <v>41134</v>
      </c>
      <c r="AH1324" s="369">
        <v>1791.61</v>
      </c>
    </row>
    <row r="1325" spans="32:34">
      <c r="AF1325" s="367">
        <f t="shared" si="20"/>
        <v>41122</v>
      </c>
      <c r="AG1325" s="368">
        <v>41135</v>
      </c>
      <c r="AH1325" s="369">
        <v>1792.86</v>
      </c>
    </row>
    <row r="1326" spans="32:34">
      <c r="AF1326" s="367">
        <f t="shared" si="20"/>
        <v>41122</v>
      </c>
      <c r="AG1326" s="368">
        <v>41136</v>
      </c>
      <c r="AH1326" s="369">
        <v>1800.81190563306</v>
      </c>
    </row>
    <row r="1327" spans="32:34">
      <c r="AF1327" s="367">
        <f t="shared" si="20"/>
        <v>41122</v>
      </c>
      <c r="AG1327" s="368">
        <v>41137</v>
      </c>
      <c r="AH1327" s="369">
        <v>1817.18</v>
      </c>
    </row>
    <row r="1328" spans="32:34">
      <c r="AF1328" s="367">
        <f t="shared" si="20"/>
        <v>41122</v>
      </c>
      <c r="AG1328" s="368">
        <v>41138</v>
      </c>
      <c r="AH1328" s="369">
        <v>1825.52</v>
      </c>
    </row>
    <row r="1329" spans="32:34">
      <c r="AF1329" s="367">
        <f t="shared" si="20"/>
        <v>41122</v>
      </c>
      <c r="AG1329" s="368">
        <v>41139</v>
      </c>
      <c r="AH1329" s="369">
        <v>1822.59</v>
      </c>
    </row>
    <row r="1330" spans="32:34">
      <c r="AF1330" s="367">
        <f t="shared" si="20"/>
        <v>41122</v>
      </c>
      <c r="AG1330" s="368">
        <v>41140</v>
      </c>
      <c r="AH1330" s="369">
        <v>1822.59</v>
      </c>
    </row>
    <row r="1331" spans="32:34">
      <c r="AF1331" s="367">
        <f t="shared" si="20"/>
        <v>41122</v>
      </c>
      <c r="AG1331" s="368">
        <v>41141</v>
      </c>
      <c r="AH1331" s="369">
        <v>1822.59</v>
      </c>
    </row>
    <row r="1332" spans="32:34">
      <c r="AF1332" s="367">
        <f t="shared" si="20"/>
        <v>41122</v>
      </c>
      <c r="AG1332" s="368">
        <v>41142</v>
      </c>
      <c r="AH1332" s="369">
        <v>1822.59</v>
      </c>
    </row>
    <row r="1333" spans="32:34">
      <c r="AF1333" s="367">
        <f t="shared" si="20"/>
        <v>41122</v>
      </c>
      <c r="AG1333" s="368">
        <v>41143</v>
      </c>
      <c r="AH1333" s="369">
        <v>1815.8</v>
      </c>
    </row>
    <row r="1334" spans="32:34">
      <c r="AF1334" s="367">
        <f t="shared" si="20"/>
        <v>41122</v>
      </c>
      <c r="AG1334" s="368">
        <v>41144</v>
      </c>
      <c r="AH1334" s="369">
        <v>1812.88</v>
      </c>
    </row>
    <row r="1335" spans="32:34">
      <c r="AF1335" s="367">
        <f t="shared" si="20"/>
        <v>41122</v>
      </c>
      <c r="AG1335" s="368">
        <v>41145</v>
      </c>
      <c r="AH1335" s="369">
        <v>1808.33</v>
      </c>
    </row>
    <row r="1336" spans="32:34">
      <c r="AF1336" s="367">
        <f t="shared" si="20"/>
        <v>41122</v>
      </c>
      <c r="AG1336" s="368">
        <v>41146</v>
      </c>
      <c r="AH1336" s="369">
        <v>1814.83</v>
      </c>
    </row>
    <row r="1337" spans="32:34">
      <c r="AF1337" s="367">
        <f t="shared" si="20"/>
        <v>41122</v>
      </c>
      <c r="AG1337" s="368">
        <v>41147</v>
      </c>
      <c r="AH1337" s="369">
        <v>1814.83</v>
      </c>
    </row>
    <row r="1338" spans="32:34">
      <c r="AF1338" s="367">
        <f t="shared" si="20"/>
        <v>41122</v>
      </c>
      <c r="AG1338" s="368">
        <v>41148</v>
      </c>
      <c r="AH1338" s="369">
        <v>1814.83</v>
      </c>
    </row>
    <row r="1339" spans="32:34">
      <c r="AF1339" s="367">
        <f t="shared" si="20"/>
        <v>41122</v>
      </c>
      <c r="AG1339" s="368">
        <v>41149</v>
      </c>
      <c r="AH1339" s="369">
        <v>1821.44</v>
      </c>
    </row>
    <row r="1340" spans="32:34">
      <c r="AF1340" s="367">
        <f t="shared" si="20"/>
        <v>41122</v>
      </c>
      <c r="AG1340" s="368">
        <v>41150</v>
      </c>
      <c r="AH1340" s="369">
        <v>1828.99</v>
      </c>
    </row>
    <row r="1341" spans="32:34">
      <c r="AF1341" s="367">
        <f t="shared" si="20"/>
        <v>41122</v>
      </c>
      <c r="AG1341" s="368">
        <v>41151</v>
      </c>
      <c r="AH1341" s="369">
        <v>1833.14</v>
      </c>
    </row>
    <row r="1342" spans="32:34">
      <c r="AF1342" s="367">
        <f t="shared" si="20"/>
        <v>41122</v>
      </c>
      <c r="AG1342" s="368">
        <v>41152</v>
      </c>
      <c r="AH1342" s="369">
        <v>1830.5</v>
      </c>
    </row>
    <row r="1343" spans="32:34">
      <c r="AF1343" s="367">
        <f t="shared" si="20"/>
        <v>41153</v>
      </c>
      <c r="AG1343" s="368">
        <v>41153</v>
      </c>
      <c r="AH1343" s="369">
        <v>1825.21</v>
      </c>
    </row>
    <row r="1344" spans="32:34">
      <c r="AF1344" s="367">
        <f t="shared" si="20"/>
        <v>41153</v>
      </c>
      <c r="AG1344" s="368">
        <v>41154</v>
      </c>
      <c r="AH1344" s="369">
        <v>1825.21</v>
      </c>
    </row>
    <row r="1345" spans="32:34">
      <c r="AF1345" s="367">
        <f t="shared" si="20"/>
        <v>41153</v>
      </c>
      <c r="AG1345" s="368">
        <v>41155</v>
      </c>
      <c r="AH1345" s="369">
        <v>1825.21</v>
      </c>
    </row>
    <row r="1346" spans="32:34">
      <c r="AF1346" s="367">
        <f t="shared" si="20"/>
        <v>41153</v>
      </c>
      <c r="AG1346" s="368">
        <v>41156</v>
      </c>
      <c r="AH1346" s="369">
        <v>1825.21</v>
      </c>
    </row>
    <row r="1347" spans="32:34">
      <c r="AF1347" s="367">
        <f t="shared" si="20"/>
        <v>41153</v>
      </c>
      <c r="AG1347" s="368">
        <v>41157</v>
      </c>
      <c r="AH1347" s="369">
        <v>1824.81</v>
      </c>
    </row>
    <row r="1348" spans="32:34">
      <c r="AF1348" s="367">
        <f t="shared" ref="AF1348:AF1411" si="21">+DATE(YEAR(AG1348),MONTH(AG1348),1)</f>
        <v>41153</v>
      </c>
      <c r="AG1348" s="368">
        <v>41158</v>
      </c>
      <c r="AH1348" s="369">
        <v>1814.06</v>
      </c>
    </row>
    <row r="1349" spans="32:34">
      <c r="AF1349" s="367">
        <f t="shared" si="21"/>
        <v>41153</v>
      </c>
      <c r="AG1349" s="368">
        <v>41159</v>
      </c>
      <c r="AH1349" s="369">
        <v>1804.09</v>
      </c>
    </row>
    <row r="1350" spans="32:34">
      <c r="AF1350" s="367">
        <f t="shared" si="21"/>
        <v>41153</v>
      </c>
      <c r="AG1350" s="368">
        <v>41160</v>
      </c>
      <c r="AH1350" s="369">
        <v>1797.35</v>
      </c>
    </row>
    <row r="1351" spans="32:34">
      <c r="AF1351" s="367">
        <f t="shared" si="21"/>
        <v>41153</v>
      </c>
      <c r="AG1351" s="368">
        <v>41161</v>
      </c>
      <c r="AH1351" s="369">
        <v>1797.35</v>
      </c>
    </row>
    <row r="1352" spans="32:34">
      <c r="AF1352" s="367">
        <f t="shared" si="21"/>
        <v>41153</v>
      </c>
      <c r="AG1352" s="368">
        <v>41162</v>
      </c>
      <c r="AH1352" s="369">
        <v>1797.35</v>
      </c>
    </row>
    <row r="1353" spans="32:34">
      <c r="AF1353" s="367">
        <f t="shared" si="21"/>
        <v>41153</v>
      </c>
      <c r="AG1353" s="368">
        <v>41163</v>
      </c>
      <c r="AH1353" s="369">
        <v>1802.23</v>
      </c>
    </row>
    <row r="1354" spans="32:34">
      <c r="AF1354" s="367">
        <f t="shared" si="21"/>
        <v>41153</v>
      </c>
      <c r="AG1354" s="368">
        <v>41164</v>
      </c>
      <c r="AH1354" s="369">
        <v>1795.4</v>
      </c>
    </row>
    <row r="1355" spans="32:34">
      <c r="AF1355" s="367">
        <f t="shared" si="21"/>
        <v>41153</v>
      </c>
      <c r="AG1355" s="368">
        <v>41165</v>
      </c>
      <c r="AH1355" s="369">
        <v>1802.22</v>
      </c>
    </row>
    <row r="1356" spans="32:34">
      <c r="AF1356" s="367">
        <f t="shared" si="21"/>
        <v>41153</v>
      </c>
      <c r="AG1356" s="368">
        <v>41166</v>
      </c>
      <c r="AH1356" s="369">
        <v>1799.57</v>
      </c>
    </row>
    <row r="1357" spans="32:34">
      <c r="AF1357" s="367">
        <f t="shared" si="21"/>
        <v>41153</v>
      </c>
      <c r="AG1357" s="368">
        <v>41167</v>
      </c>
      <c r="AH1357" s="369">
        <v>1789.54</v>
      </c>
    </row>
    <row r="1358" spans="32:34">
      <c r="AF1358" s="367">
        <f t="shared" si="21"/>
        <v>41153</v>
      </c>
      <c r="AG1358" s="368">
        <v>41168</v>
      </c>
      <c r="AH1358" s="369">
        <v>1789.54</v>
      </c>
    </row>
    <row r="1359" spans="32:34">
      <c r="AF1359" s="367">
        <f t="shared" si="21"/>
        <v>41153</v>
      </c>
      <c r="AG1359" s="368">
        <v>41169</v>
      </c>
      <c r="AH1359" s="369">
        <v>1789.54</v>
      </c>
    </row>
    <row r="1360" spans="32:34">
      <c r="AF1360" s="367">
        <f t="shared" si="21"/>
        <v>41153</v>
      </c>
      <c r="AG1360" s="368">
        <v>41170</v>
      </c>
      <c r="AH1360" s="369">
        <v>1799.77</v>
      </c>
    </row>
    <row r="1361" spans="32:34">
      <c r="AF1361" s="367">
        <f t="shared" si="21"/>
        <v>41153</v>
      </c>
      <c r="AG1361" s="368">
        <v>41171</v>
      </c>
      <c r="AH1361" s="369">
        <v>1800.19</v>
      </c>
    </row>
    <row r="1362" spans="32:34">
      <c r="AF1362" s="367">
        <f t="shared" si="21"/>
        <v>41153</v>
      </c>
      <c r="AG1362" s="368">
        <v>41172</v>
      </c>
      <c r="AH1362" s="369">
        <v>1795.66</v>
      </c>
    </row>
    <row r="1363" spans="32:34">
      <c r="AF1363" s="367">
        <f t="shared" si="21"/>
        <v>41153</v>
      </c>
      <c r="AG1363" s="368">
        <v>41173</v>
      </c>
      <c r="AH1363" s="369">
        <v>1798.98</v>
      </c>
    </row>
    <row r="1364" spans="32:34">
      <c r="AF1364" s="367">
        <f t="shared" si="21"/>
        <v>41153</v>
      </c>
      <c r="AG1364" s="368">
        <v>41174</v>
      </c>
      <c r="AH1364" s="369">
        <v>1796.75</v>
      </c>
    </row>
    <row r="1365" spans="32:34">
      <c r="AF1365" s="367">
        <f t="shared" si="21"/>
        <v>41153</v>
      </c>
      <c r="AG1365" s="368">
        <v>41175</v>
      </c>
      <c r="AH1365" s="369">
        <v>1796.75</v>
      </c>
    </row>
    <row r="1366" spans="32:34">
      <c r="AF1366" s="367">
        <f t="shared" si="21"/>
        <v>41153</v>
      </c>
      <c r="AG1366" s="368">
        <v>41176</v>
      </c>
      <c r="AH1366" s="369">
        <v>1796.75</v>
      </c>
    </row>
    <row r="1367" spans="32:34">
      <c r="AF1367" s="367">
        <f t="shared" si="21"/>
        <v>41153</v>
      </c>
      <c r="AG1367" s="368">
        <v>41177</v>
      </c>
      <c r="AH1367" s="369">
        <v>1799.29</v>
      </c>
    </row>
    <row r="1368" spans="32:34">
      <c r="AF1368" s="367">
        <f t="shared" si="21"/>
        <v>41153</v>
      </c>
      <c r="AG1368" s="368">
        <v>41178</v>
      </c>
      <c r="AH1368" s="369">
        <v>1795.69</v>
      </c>
    </row>
    <row r="1369" spans="32:34">
      <c r="AF1369" s="367">
        <f t="shared" si="21"/>
        <v>41153</v>
      </c>
      <c r="AG1369" s="368">
        <v>41179</v>
      </c>
      <c r="AH1369" s="369">
        <v>1799.55</v>
      </c>
    </row>
    <row r="1370" spans="32:34">
      <c r="AF1370" s="367">
        <f t="shared" si="21"/>
        <v>41153</v>
      </c>
      <c r="AG1370" s="368">
        <v>41180</v>
      </c>
      <c r="AH1370" s="369">
        <v>1798.08</v>
      </c>
    </row>
    <row r="1371" spans="32:34">
      <c r="AF1371" s="367">
        <f t="shared" si="21"/>
        <v>41153</v>
      </c>
      <c r="AG1371" s="368">
        <v>41181</v>
      </c>
      <c r="AH1371" s="369">
        <v>1800.52</v>
      </c>
    </row>
    <row r="1372" spans="32:34">
      <c r="AF1372" s="367">
        <f t="shared" si="21"/>
        <v>41153</v>
      </c>
      <c r="AG1372" s="368">
        <v>41182</v>
      </c>
      <c r="AH1372" s="369">
        <v>1800.52</v>
      </c>
    </row>
    <row r="1373" spans="32:34">
      <c r="AF1373" s="367">
        <f t="shared" si="21"/>
        <v>41183</v>
      </c>
      <c r="AG1373" s="368">
        <v>41183</v>
      </c>
      <c r="AH1373" s="369">
        <v>1800.52</v>
      </c>
    </row>
    <row r="1374" spans="32:34">
      <c r="AF1374" s="367">
        <f t="shared" si="21"/>
        <v>41183</v>
      </c>
      <c r="AG1374" s="368">
        <v>41184</v>
      </c>
      <c r="AH1374" s="369">
        <v>1797.97</v>
      </c>
    </row>
    <row r="1375" spans="32:34">
      <c r="AF1375" s="367">
        <f t="shared" si="21"/>
        <v>41183</v>
      </c>
      <c r="AG1375" s="368">
        <v>41185</v>
      </c>
      <c r="AH1375" s="369">
        <v>1798.86</v>
      </c>
    </row>
    <row r="1376" spans="32:34">
      <c r="AF1376" s="367">
        <f t="shared" si="21"/>
        <v>41183</v>
      </c>
      <c r="AG1376" s="368">
        <v>41186</v>
      </c>
      <c r="AH1376" s="369">
        <v>1800.43</v>
      </c>
    </row>
    <row r="1377" spans="32:34">
      <c r="AF1377" s="367">
        <f t="shared" si="21"/>
        <v>41183</v>
      </c>
      <c r="AG1377" s="368">
        <v>41187</v>
      </c>
      <c r="AH1377" s="369">
        <v>1797.68</v>
      </c>
    </row>
    <row r="1378" spans="32:34">
      <c r="AF1378" s="367">
        <f t="shared" si="21"/>
        <v>41183</v>
      </c>
      <c r="AG1378" s="368">
        <v>41188</v>
      </c>
      <c r="AH1378" s="369">
        <v>1795.4</v>
      </c>
    </row>
    <row r="1379" spans="32:34">
      <c r="AF1379" s="367">
        <f t="shared" si="21"/>
        <v>41183</v>
      </c>
      <c r="AG1379" s="368">
        <v>41189</v>
      </c>
      <c r="AH1379" s="369">
        <v>1795.4</v>
      </c>
    </row>
    <row r="1380" spans="32:34">
      <c r="AF1380" s="367">
        <f t="shared" si="21"/>
        <v>41183</v>
      </c>
      <c r="AG1380" s="368">
        <v>41190</v>
      </c>
      <c r="AH1380" s="369">
        <v>1795.4</v>
      </c>
    </row>
    <row r="1381" spans="32:34">
      <c r="AF1381" s="367">
        <f t="shared" si="21"/>
        <v>41183</v>
      </c>
      <c r="AG1381" s="368">
        <v>41191</v>
      </c>
      <c r="AH1381" s="369">
        <v>1795.4</v>
      </c>
    </row>
    <row r="1382" spans="32:34">
      <c r="AF1382" s="367">
        <f t="shared" si="21"/>
        <v>41183</v>
      </c>
      <c r="AG1382" s="368">
        <v>41192</v>
      </c>
      <c r="AH1382" s="369">
        <v>1798.32</v>
      </c>
    </row>
    <row r="1383" spans="32:34">
      <c r="AF1383" s="367">
        <f t="shared" si="21"/>
        <v>41183</v>
      </c>
      <c r="AG1383" s="368">
        <v>41193</v>
      </c>
      <c r="AH1383" s="369">
        <v>1799.78</v>
      </c>
    </row>
    <row r="1384" spans="32:34">
      <c r="AF1384" s="367">
        <f t="shared" si="21"/>
        <v>41183</v>
      </c>
      <c r="AG1384" s="368">
        <v>41194</v>
      </c>
      <c r="AH1384" s="369">
        <v>1797.68</v>
      </c>
    </row>
    <row r="1385" spans="32:34">
      <c r="AF1385" s="367">
        <f t="shared" si="21"/>
        <v>41183</v>
      </c>
      <c r="AG1385" s="368">
        <v>41195</v>
      </c>
      <c r="AH1385" s="369">
        <v>1797.68</v>
      </c>
    </row>
    <row r="1386" spans="32:34">
      <c r="AF1386" s="367">
        <f t="shared" si="21"/>
        <v>41183</v>
      </c>
      <c r="AG1386" s="368">
        <v>41196</v>
      </c>
      <c r="AH1386" s="369">
        <v>1797.68</v>
      </c>
    </row>
    <row r="1387" spans="32:34">
      <c r="AF1387" s="367">
        <f t="shared" si="21"/>
        <v>41183</v>
      </c>
      <c r="AG1387" s="368">
        <v>41197</v>
      </c>
      <c r="AH1387" s="369">
        <v>1797.68</v>
      </c>
    </row>
    <row r="1388" spans="32:34">
      <c r="AF1388" s="367">
        <f t="shared" si="21"/>
        <v>41183</v>
      </c>
      <c r="AG1388" s="368">
        <v>41198</v>
      </c>
      <c r="AH1388" s="369">
        <v>1797.68</v>
      </c>
    </row>
    <row r="1389" spans="32:34">
      <c r="AF1389" s="367">
        <f t="shared" si="21"/>
        <v>41183</v>
      </c>
      <c r="AG1389" s="368">
        <v>41199</v>
      </c>
      <c r="AH1389" s="369">
        <v>1797.81</v>
      </c>
    </row>
    <row r="1390" spans="32:34">
      <c r="AF1390" s="367">
        <f t="shared" si="21"/>
        <v>41183</v>
      </c>
      <c r="AG1390" s="368">
        <v>41200</v>
      </c>
      <c r="AH1390" s="369">
        <v>1798.53</v>
      </c>
    </row>
    <row r="1391" spans="32:34">
      <c r="AF1391" s="367">
        <f t="shared" si="21"/>
        <v>41183</v>
      </c>
      <c r="AG1391" s="368">
        <v>41201</v>
      </c>
      <c r="AH1391" s="369">
        <v>1797.66</v>
      </c>
    </row>
    <row r="1392" spans="32:34">
      <c r="AF1392" s="367">
        <f t="shared" si="21"/>
        <v>41183</v>
      </c>
      <c r="AG1392" s="368">
        <v>41202</v>
      </c>
      <c r="AH1392" s="369">
        <v>1798.42</v>
      </c>
    </row>
    <row r="1393" spans="32:34">
      <c r="AF1393" s="367">
        <f t="shared" si="21"/>
        <v>41183</v>
      </c>
      <c r="AG1393" s="368">
        <v>41203</v>
      </c>
      <c r="AH1393" s="369">
        <v>1798.42</v>
      </c>
    </row>
    <row r="1394" spans="32:34">
      <c r="AF1394" s="367">
        <f t="shared" si="21"/>
        <v>41183</v>
      </c>
      <c r="AG1394" s="368">
        <v>41204</v>
      </c>
      <c r="AH1394" s="369">
        <v>1798.42</v>
      </c>
    </row>
    <row r="1395" spans="32:34">
      <c r="AF1395" s="367">
        <f t="shared" si="21"/>
        <v>41183</v>
      </c>
      <c r="AG1395" s="368">
        <v>41205</v>
      </c>
      <c r="AH1395" s="369">
        <v>1802.91</v>
      </c>
    </row>
    <row r="1396" spans="32:34">
      <c r="AF1396" s="367">
        <f t="shared" si="21"/>
        <v>41183</v>
      </c>
      <c r="AG1396" s="368">
        <v>41206</v>
      </c>
      <c r="AH1396" s="369">
        <v>1816.6</v>
      </c>
    </row>
    <row r="1397" spans="32:34">
      <c r="AF1397" s="367">
        <f t="shared" si="21"/>
        <v>41183</v>
      </c>
      <c r="AG1397" s="368">
        <v>41207</v>
      </c>
      <c r="AH1397" s="369">
        <v>1817.25</v>
      </c>
    </row>
    <row r="1398" spans="32:34">
      <c r="AF1398" s="367">
        <f t="shared" si="21"/>
        <v>41183</v>
      </c>
      <c r="AG1398" s="368">
        <v>41208</v>
      </c>
      <c r="AH1398" s="369">
        <v>1816.97</v>
      </c>
    </row>
    <row r="1399" spans="32:34">
      <c r="AF1399" s="367">
        <f t="shared" si="21"/>
        <v>41183</v>
      </c>
      <c r="AG1399" s="368">
        <v>41209</v>
      </c>
      <c r="AH1399" s="369">
        <v>1823.18</v>
      </c>
    </row>
    <row r="1400" spans="32:34">
      <c r="AF1400" s="367">
        <f t="shared" si="21"/>
        <v>41183</v>
      </c>
      <c r="AG1400" s="368">
        <v>41210</v>
      </c>
      <c r="AH1400" s="369">
        <v>1823.18</v>
      </c>
    </row>
    <row r="1401" spans="32:34">
      <c r="AF1401" s="367">
        <f t="shared" si="21"/>
        <v>41183</v>
      </c>
      <c r="AG1401" s="368">
        <v>41211</v>
      </c>
      <c r="AH1401" s="369">
        <v>1823.18</v>
      </c>
    </row>
    <row r="1402" spans="32:34">
      <c r="AF1402" s="367">
        <f t="shared" si="21"/>
        <v>41183</v>
      </c>
      <c r="AG1402" s="368">
        <v>41212</v>
      </c>
      <c r="AH1402" s="369">
        <v>1830.45</v>
      </c>
    </row>
    <row r="1403" spans="32:34">
      <c r="AF1403" s="367">
        <f t="shared" si="21"/>
        <v>41183</v>
      </c>
      <c r="AG1403" s="368">
        <v>41213</v>
      </c>
      <c r="AH1403" s="369">
        <v>1829.89</v>
      </c>
    </row>
    <row r="1404" spans="32:34">
      <c r="AF1404" s="367">
        <f t="shared" si="21"/>
        <v>41214</v>
      </c>
      <c r="AG1404" s="368">
        <v>41214</v>
      </c>
      <c r="AH1404" s="369">
        <v>1831.25</v>
      </c>
    </row>
    <row r="1405" spans="32:34">
      <c r="AF1405" s="367">
        <f t="shared" si="21"/>
        <v>41214</v>
      </c>
      <c r="AG1405" s="368">
        <v>41215</v>
      </c>
      <c r="AH1405" s="369">
        <v>1825.5</v>
      </c>
    </row>
    <row r="1406" spans="32:34">
      <c r="AF1406" s="367">
        <f t="shared" si="21"/>
        <v>41214</v>
      </c>
      <c r="AG1406" s="368">
        <v>41216</v>
      </c>
      <c r="AH1406" s="369">
        <v>1828.8</v>
      </c>
    </row>
    <row r="1407" spans="32:34">
      <c r="AF1407" s="367">
        <f t="shared" si="21"/>
        <v>41214</v>
      </c>
      <c r="AG1407" s="368">
        <v>41217</v>
      </c>
      <c r="AH1407" s="369">
        <v>1828.8</v>
      </c>
    </row>
    <row r="1408" spans="32:34">
      <c r="AF1408" s="367">
        <f t="shared" si="21"/>
        <v>41214</v>
      </c>
      <c r="AG1408" s="368">
        <v>41218</v>
      </c>
      <c r="AH1408" s="369">
        <v>1828.8</v>
      </c>
    </row>
    <row r="1409" spans="32:34">
      <c r="AF1409" s="367">
        <f t="shared" si="21"/>
        <v>41214</v>
      </c>
      <c r="AG1409" s="368">
        <v>41219</v>
      </c>
      <c r="AH1409" s="369">
        <v>1828.8</v>
      </c>
    </row>
    <row r="1410" spans="32:34">
      <c r="AF1410" s="367">
        <f t="shared" si="21"/>
        <v>41214</v>
      </c>
      <c r="AG1410" s="368">
        <v>41220</v>
      </c>
      <c r="AH1410" s="369">
        <v>1814.99</v>
      </c>
    </row>
    <row r="1411" spans="32:34">
      <c r="AF1411" s="367">
        <f t="shared" si="21"/>
        <v>41214</v>
      </c>
      <c r="AG1411" s="368">
        <v>41221</v>
      </c>
      <c r="AH1411" s="369">
        <v>1814.83</v>
      </c>
    </row>
    <row r="1412" spans="32:34">
      <c r="AF1412" s="367">
        <f t="shared" ref="AF1412:AF1475" si="22">+DATE(YEAR(AG1412),MONTH(AG1412),1)</f>
        <v>41214</v>
      </c>
      <c r="AG1412" s="368">
        <v>41222</v>
      </c>
      <c r="AH1412" s="369">
        <v>1814.21</v>
      </c>
    </row>
    <row r="1413" spans="32:34">
      <c r="AF1413" s="367">
        <f t="shared" si="22"/>
        <v>41214</v>
      </c>
      <c r="AG1413" s="368">
        <v>41223</v>
      </c>
      <c r="AH1413" s="369">
        <v>1816.99</v>
      </c>
    </row>
    <row r="1414" spans="32:34">
      <c r="AF1414" s="367">
        <f t="shared" si="22"/>
        <v>41214</v>
      </c>
      <c r="AG1414" s="368">
        <v>41224</v>
      </c>
      <c r="AH1414" s="369">
        <v>1816.99</v>
      </c>
    </row>
    <row r="1415" spans="32:34">
      <c r="AF1415" s="367">
        <f t="shared" si="22"/>
        <v>41214</v>
      </c>
      <c r="AG1415" s="368">
        <v>41225</v>
      </c>
      <c r="AH1415" s="369">
        <v>1816.99</v>
      </c>
    </row>
    <row r="1416" spans="32:34">
      <c r="AF1416" s="367">
        <f t="shared" si="22"/>
        <v>41214</v>
      </c>
      <c r="AG1416" s="368">
        <v>41226</v>
      </c>
      <c r="AH1416" s="369">
        <v>1816.99</v>
      </c>
    </row>
    <row r="1417" spans="32:34">
      <c r="AF1417" s="367">
        <f t="shared" si="22"/>
        <v>41214</v>
      </c>
      <c r="AG1417" s="368">
        <v>41227</v>
      </c>
      <c r="AH1417" s="369">
        <v>1819.3</v>
      </c>
    </row>
    <row r="1418" spans="32:34">
      <c r="AF1418" s="367">
        <f t="shared" si="22"/>
        <v>41214</v>
      </c>
      <c r="AG1418" s="368">
        <v>41228</v>
      </c>
      <c r="AH1418" s="369">
        <v>1818.2</v>
      </c>
    </row>
    <row r="1419" spans="32:34">
      <c r="AF1419" s="367">
        <f t="shared" si="22"/>
        <v>41214</v>
      </c>
      <c r="AG1419" s="368">
        <v>41229</v>
      </c>
      <c r="AH1419" s="369">
        <v>1822.61</v>
      </c>
    </row>
    <row r="1420" spans="32:34">
      <c r="AF1420" s="367">
        <f t="shared" si="22"/>
        <v>41214</v>
      </c>
      <c r="AG1420" s="368">
        <v>41230</v>
      </c>
      <c r="AH1420" s="369">
        <v>1823.46</v>
      </c>
    </row>
    <row r="1421" spans="32:34">
      <c r="AF1421" s="367">
        <f t="shared" si="22"/>
        <v>41214</v>
      </c>
      <c r="AG1421" s="368">
        <v>41231</v>
      </c>
      <c r="AH1421" s="369">
        <v>1823.46</v>
      </c>
    </row>
    <row r="1422" spans="32:34">
      <c r="AF1422" s="367">
        <f t="shared" si="22"/>
        <v>41214</v>
      </c>
      <c r="AG1422" s="368">
        <v>41232</v>
      </c>
      <c r="AH1422" s="369">
        <v>1823.46</v>
      </c>
    </row>
    <row r="1423" spans="32:34">
      <c r="AF1423" s="367">
        <f t="shared" si="22"/>
        <v>41214</v>
      </c>
      <c r="AG1423" s="368">
        <v>41233</v>
      </c>
      <c r="AH1423" s="369">
        <v>1817.67</v>
      </c>
    </row>
    <row r="1424" spans="32:34">
      <c r="AF1424" s="367">
        <f t="shared" si="22"/>
        <v>41214</v>
      </c>
      <c r="AG1424" s="368">
        <v>41234</v>
      </c>
      <c r="AH1424" s="369">
        <v>1815.58</v>
      </c>
    </row>
    <row r="1425" spans="32:34">
      <c r="AF1425" s="367">
        <f t="shared" si="22"/>
        <v>41214</v>
      </c>
      <c r="AG1425" s="368">
        <v>41235</v>
      </c>
      <c r="AH1425" s="369">
        <v>1815.76</v>
      </c>
    </row>
    <row r="1426" spans="32:34">
      <c r="AF1426" s="367">
        <f t="shared" si="22"/>
        <v>41214</v>
      </c>
      <c r="AG1426" s="368">
        <v>41236</v>
      </c>
      <c r="AH1426" s="369">
        <v>1815.76</v>
      </c>
    </row>
    <row r="1427" spans="32:34">
      <c r="AF1427" s="367">
        <f t="shared" si="22"/>
        <v>41214</v>
      </c>
      <c r="AG1427" s="368">
        <v>41237</v>
      </c>
      <c r="AH1427" s="369">
        <v>1820.18</v>
      </c>
    </row>
    <row r="1428" spans="32:34">
      <c r="AF1428" s="367">
        <f t="shared" si="22"/>
        <v>41214</v>
      </c>
      <c r="AG1428" s="368">
        <v>41238</v>
      </c>
      <c r="AH1428" s="369">
        <v>1820.18</v>
      </c>
    </row>
    <row r="1429" spans="32:34">
      <c r="AF1429" s="367">
        <f t="shared" si="22"/>
        <v>41214</v>
      </c>
      <c r="AG1429" s="368">
        <v>41239</v>
      </c>
      <c r="AH1429" s="369">
        <v>1820.18</v>
      </c>
    </row>
    <row r="1430" spans="32:34">
      <c r="AF1430" s="367">
        <f t="shared" si="22"/>
        <v>41214</v>
      </c>
      <c r="AG1430" s="368">
        <v>41240</v>
      </c>
      <c r="AH1430" s="369">
        <v>1824.12</v>
      </c>
    </row>
    <row r="1431" spans="32:34">
      <c r="AF1431" s="367">
        <f t="shared" si="22"/>
        <v>41214</v>
      </c>
      <c r="AG1431" s="368">
        <v>41241</v>
      </c>
      <c r="AH1431" s="369">
        <v>1823.54</v>
      </c>
    </row>
    <row r="1432" spans="32:34">
      <c r="AF1432" s="367">
        <f t="shared" si="22"/>
        <v>41214</v>
      </c>
      <c r="AG1432" s="368">
        <v>41242</v>
      </c>
      <c r="AH1432" s="369">
        <v>1825.08</v>
      </c>
    </row>
    <row r="1433" spans="32:34">
      <c r="AF1433" s="367">
        <f t="shared" si="22"/>
        <v>41214</v>
      </c>
      <c r="AG1433" s="368">
        <v>41243</v>
      </c>
      <c r="AH1433" s="369">
        <v>1817.93</v>
      </c>
    </row>
    <row r="1434" spans="32:34">
      <c r="AF1434" s="367">
        <f t="shared" si="22"/>
        <v>41244</v>
      </c>
      <c r="AG1434" s="368">
        <v>41244</v>
      </c>
      <c r="AH1434" s="369">
        <v>1813.72</v>
      </c>
    </row>
    <row r="1435" spans="32:34">
      <c r="AF1435" s="367">
        <f t="shared" si="22"/>
        <v>41244</v>
      </c>
      <c r="AG1435" s="368">
        <v>41245</v>
      </c>
      <c r="AH1435" s="369">
        <v>1813.72</v>
      </c>
    </row>
    <row r="1436" spans="32:34">
      <c r="AF1436" s="367">
        <f t="shared" si="22"/>
        <v>41244</v>
      </c>
      <c r="AG1436" s="368">
        <v>41246</v>
      </c>
      <c r="AH1436" s="369">
        <v>1813.72</v>
      </c>
    </row>
    <row r="1437" spans="32:34">
      <c r="AF1437" s="367">
        <f t="shared" si="22"/>
        <v>41244</v>
      </c>
      <c r="AG1437" s="368">
        <v>41247</v>
      </c>
      <c r="AH1437" s="369">
        <v>1813.73</v>
      </c>
    </row>
    <row r="1438" spans="32:34">
      <c r="AF1438" s="367">
        <f t="shared" si="22"/>
        <v>41244</v>
      </c>
      <c r="AG1438" s="368">
        <v>41248</v>
      </c>
      <c r="AH1438" s="369">
        <v>1813.57</v>
      </c>
    </row>
    <row r="1439" spans="32:34">
      <c r="AF1439" s="367">
        <f t="shared" si="22"/>
        <v>41244</v>
      </c>
      <c r="AG1439" s="368">
        <v>41249</v>
      </c>
      <c r="AH1439" s="369">
        <v>1811.05</v>
      </c>
    </row>
    <row r="1440" spans="32:34">
      <c r="AF1440" s="367">
        <f t="shared" si="22"/>
        <v>41244</v>
      </c>
      <c r="AG1440" s="368">
        <v>41250</v>
      </c>
      <c r="AH1440" s="369">
        <v>1803.69</v>
      </c>
    </row>
    <row r="1441" spans="32:34">
      <c r="AF1441" s="367">
        <f t="shared" si="22"/>
        <v>41244</v>
      </c>
      <c r="AG1441" s="368">
        <v>41251</v>
      </c>
      <c r="AH1441" s="369">
        <v>1797.45</v>
      </c>
    </row>
    <row r="1442" spans="32:34">
      <c r="AF1442" s="367">
        <f t="shared" si="22"/>
        <v>41244</v>
      </c>
      <c r="AG1442" s="368">
        <v>41252</v>
      </c>
      <c r="AH1442" s="369">
        <v>1797.45</v>
      </c>
    </row>
    <row r="1443" spans="32:34">
      <c r="AF1443" s="367">
        <f t="shared" si="22"/>
        <v>41244</v>
      </c>
      <c r="AG1443" s="368">
        <v>41253</v>
      </c>
      <c r="AH1443" s="369">
        <v>1797.45</v>
      </c>
    </row>
    <row r="1444" spans="32:34">
      <c r="AF1444" s="367">
        <f t="shared" si="22"/>
        <v>41244</v>
      </c>
      <c r="AG1444" s="368">
        <v>41254</v>
      </c>
      <c r="AH1444" s="369">
        <v>1799.4</v>
      </c>
    </row>
    <row r="1445" spans="32:34">
      <c r="AF1445" s="367">
        <f t="shared" si="22"/>
        <v>41244</v>
      </c>
      <c r="AG1445" s="368">
        <v>41255</v>
      </c>
      <c r="AH1445" s="369">
        <v>1801.5</v>
      </c>
    </row>
    <row r="1446" spans="32:34">
      <c r="AF1446" s="367">
        <f t="shared" si="22"/>
        <v>41244</v>
      </c>
      <c r="AG1446" s="368">
        <v>41256</v>
      </c>
      <c r="AH1446" s="369">
        <v>1796.31</v>
      </c>
    </row>
    <row r="1447" spans="32:34">
      <c r="AF1447" s="367">
        <f t="shared" si="22"/>
        <v>41244</v>
      </c>
      <c r="AG1447" s="368">
        <v>41257</v>
      </c>
      <c r="AH1447" s="369">
        <v>1795.05</v>
      </c>
    </row>
    <row r="1448" spans="32:34">
      <c r="AF1448" s="367">
        <f t="shared" si="22"/>
        <v>41244</v>
      </c>
      <c r="AG1448" s="368">
        <v>41258</v>
      </c>
      <c r="AH1448" s="369">
        <v>1798.37</v>
      </c>
    </row>
    <row r="1449" spans="32:34">
      <c r="AF1449" s="367">
        <f t="shared" si="22"/>
        <v>41244</v>
      </c>
      <c r="AG1449" s="368">
        <v>41259</v>
      </c>
      <c r="AH1449" s="369">
        <v>1798.37</v>
      </c>
    </row>
    <row r="1450" spans="32:34">
      <c r="AF1450" s="367">
        <f t="shared" si="22"/>
        <v>41244</v>
      </c>
      <c r="AG1450" s="368">
        <v>41260</v>
      </c>
      <c r="AH1450" s="369">
        <v>1798.37</v>
      </c>
    </row>
    <row r="1451" spans="32:34">
      <c r="AF1451" s="367">
        <f t="shared" si="22"/>
        <v>41244</v>
      </c>
      <c r="AG1451" s="368">
        <v>41261</v>
      </c>
      <c r="AH1451" s="369">
        <v>1796.98</v>
      </c>
    </row>
    <row r="1452" spans="32:34">
      <c r="AF1452" s="367">
        <f t="shared" si="22"/>
        <v>41244</v>
      </c>
      <c r="AG1452" s="368">
        <v>41262</v>
      </c>
      <c r="AH1452" s="369">
        <v>1794.14</v>
      </c>
    </row>
    <row r="1453" spans="32:34">
      <c r="AF1453" s="367">
        <f t="shared" si="22"/>
        <v>41244</v>
      </c>
      <c r="AG1453" s="368">
        <v>41263</v>
      </c>
      <c r="AH1453" s="369">
        <v>1790.46</v>
      </c>
    </row>
    <row r="1454" spans="32:34">
      <c r="AF1454" s="367">
        <f t="shared" si="22"/>
        <v>41244</v>
      </c>
      <c r="AG1454" s="368">
        <v>41264</v>
      </c>
      <c r="AH1454" s="369">
        <v>1788.87</v>
      </c>
    </row>
    <row r="1455" spans="32:34">
      <c r="AF1455" s="367">
        <f t="shared" si="22"/>
        <v>41244</v>
      </c>
      <c r="AG1455" s="368">
        <v>41265</v>
      </c>
      <c r="AH1455" s="369">
        <v>1779.79</v>
      </c>
    </row>
    <row r="1456" spans="32:34">
      <c r="AF1456" s="367">
        <f t="shared" si="22"/>
        <v>41244</v>
      </c>
      <c r="AG1456" s="368">
        <v>41266</v>
      </c>
      <c r="AH1456" s="369">
        <v>1779.79</v>
      </c>
    </row>
    <row r="1457" spans="32:34">
      <c r="AF1457" s="367">
        <f t="shared" si="22"/>
        <v>41244</v>
      </c>
      <c r="AG1457" s="368">
        <v>41267</v>
      </c>
      <c r="AH1457" s="369">
        <v>1779.79</v>
      </c>
    </row>
    <row r="1458" spans="32:34">
      <c r="AF1458" s="367">
        <f t="shared" si="22"/>
        <v>41244</v>
      </c>
      <c r="AG1458" s="368">
        <v>41268</v>
      </c>
      <c r="AH1458" s="369">
        <v>1773.44</v>
      </c>
    </row>
    <row r="1459" spans="32:34">
      <c r="AF1459" s="367">
        <f t="shared" si="22"/>
        <v>41244</v>
      </c>
      <c r="AG1459" s="368">
        <v>41269</v>
      </c>
      <c r="AH1459" s="369">
        <v>1773.44</v>
      </c>
    </row>
    <row r="1460" spans="32:34">
      <c r="AF1460" s="367">
        <f t="shared" si="22"/>
        <v>41244</v>
      </c>
      <c r="AG1460" s="368">
        <v>41270</v>
      </c>
      <c r="AH1460" s="369">
        <v>1771.49</v>
      </c>
    </row>
    <row r="1461" spans="32:34">
      <c r="AF1461" s="367">
        <f t="shared" si="22"/>
        <v>41244</v>
      </c>
      <c r="AG1461" s="368">
        <v>41271</v>
      </c>
      <c r="AH1461" s="369">
        <v>1771.54</v>
      </c>
    </row>
    <row r="1462" spans="32:34">
      <c r="AF1462" s="367">
        <f t="shared" si="22"/>
        <v>41244</v>
      </c>
      <c r="AG1462" s="368">
        <v>41272</v>
      </c>
      <c r="AH1462" s="369">
        <v>1768.23</v>
      </c>
    </row>
    <row r="1463" spans="32:34">
      <c r="AF1463" s="367">
        <f t="shared" si="22"/>
        <v>41244</v>
      </c>
      <c r="AG1463" s="368">
        <v>41273</v>
      </c>
      <c r="AH1463" s="369">
        <v>1768.23</v>
      </c>
    </row>
    <row r="1464" spans="32:34">
      <c r="AF1464" s="367">
        <f t="shared" si="22"/>
        <v>41244</v>
      </c>
      <c r="AG1464" s="368">
        <v>41274</v>
      </c>
      <c r="AH1464" s="369">
        <v>1768.23</v>
      </c>
    </row>
    <row r="1465" spans="32:34">
      <c r="AF1465" s="367">
        <f t="shared" si="22"/>
        <v>41275</v>
      </c>
      <c r="AG1465" s="368">
        <v>41275</v>
      </c>
      <c r="AH1465" s="369">
        <v>1768.23</v>
      </c>
    </row>
    <row r="1466" spans="32:34">
      <c r="AF1466" s="367">
        <f t="shared" si="22"/>
        <v>41275</v>
      </c>
      <c r="AG1466" s="368">
        <v>41276</v>
      </c>
      <c r="AH1466" s="369">
        <v>1768.23</v>
      </c>
    </row>
    <row r="1467" spans="32:34">
      <c r="AF1467" s="367">
        <f t="shared" si="22"/>
        <v>41275</v>
      </c>
      <c r="AG1467" s="368">
        <v>41277</v>
      </c>
      <c r="AH1467" s="369">
        <v>1759.97</v>
      </c>
    </row>
    <row r="1468" spans="32:34">
      <c r="AF1468" s="367">
        <f t="shared" si="22"/>
        <v>41275</v>
      </c>
      <c r="AG1468" s="368">
        <v>41278</v>
      </c>
      <c r="AH1468" s="369">
        <v>1760.83</v>
      </c>
    </row>
    <row r="1469" spans="32:34">
      <c r="AF1469" s="367">
        <f t="shared" si="22"/>
        <v>41275</v>
      </c>
      <c r="AG1469" s="368">
        <v>41279</v>
      </c>
      <c r="AH1469" s="369">
        <v>1767.54</v>
      </c>
    </row>
    <row r="1470" spans="32:34">
      <c r="AF1470" s="367">
        <f t="shared" si="22"/>
        <v>41275</v>
      </c>
      <c r="AG1470" s="368">
        <v>41280</v>
      </c>
      <c r="AH1470" s="369">
        <v>1767.54</v>
      </c>
    </row>
    <row r="1471" spans="32:34">
      <c r="AF1471" s="367">
        <f t="shared" si="22"/>
        <v>41275</v>
      </c>
      <c r="AG1471" s="368">
        <v>41281</v>
      </c>
      <c r="AH1471" s="369">
        <v>1767.54</v>
      </c>
    </row>
    <row r="1472" spans="32:34">
      <c r="AF1472" s="367">
        <f t="shared" si="22"/>
        <v>41275</v>
      </c>
      <c r="AG1472" s="368">
        <v>41282</v>
      </c>
      <c r="AH1472" s="369">
        <v>1767.54</v>
      </c>
    </row>
    <row r="1473" spans="32:34">
      <c r="AF1473" s="367">
        <f t="shared" si="22"/>
        <v>41275</v>
      </c>
      <c r="AG1473" s="368">
        <v>41283</v>
      </c>
      <c r="AH1473" s="369">
        <v>1771.31</v>
      </c>
    </row>
    <row r="1474" spans="32:34">
      <c r="AF1474" s="367">
        <f t="shared" si="22"/>
        <v>41275</v>
      </c>
      <c r="AG1474" s="368">
        <v>41284</v>
      </c>
      <c r="AH1474" s="369">
        <v>1767.96</v>
      </c>
    </row>
    <row r="1475" spans="32:34">
      <c r="AF1475" s="367">
        <f t="shared" si="22"/>
        <v>41275</v>
      </c>
      <c r="AG1475" s="368">
        <v>41285</v>
      </c>
      <c r="AH1475" s="369">
        <v>1761.5</v>
      </c>
    </row>
    <row r="1476" spans="32:34">
      <c r="AF1476" s="367">
        <f t="shared" ref="AF1476:AF1539" si="23">+DATE(YEAR(AG1476),MONTH(AG1476),1)</f>
        <v>41275</v>
      </c>
      <c r="AG1476" s="368">
        <v>41286</v>
      </c>
      <c r="AH1476" s="369">
        <v>1762.38</v>
      </c>
    </row>
    <row r="1477" spans="32:34">
      <c r="AF1477" s="367">
        <f t="shared" si="23"/>
        <v>41275</v>
      </c>
      <c r="AG1477" s="368">
        <v>41287</v>
      </c>
      <c r="AH1477" s="369">
        <v>1762.38</v>
      </c>
    </row>
    <row r="1478" spans="32:34">
      <c r="AF1478" s="367">
        <f t="shared" si="23"/>
        <v>41275</v>
      </c>
      <c r="AG1478" s="368">
        <v>41288</v>
      </c>
      <c r="AH1478" s="369">
        <v>1762.38</v>
      </c>
    </row>
    <row r="1479" spans="32:34">
      <c r="AF1479" s="367">
        <f t="shared" si="23"/>
        <v>41275</v>
      </c>
      <c r="AG1479" s="368">
        <v>41289</v>
      </c>
      <c r="AH1479" s="369">
        <v>1758.45</v>
      </c>
    </row>
    <row r="1480" spans="32:34">
      <c r="AF1480" s="367">
        <f t="shared" si="23"/>
        <v>41275</v>
      </c>
      <c r="AG1480" s="368">
        <v>41290</v>
      </c>
      <c r="AH1480" s="369">
        <v>1769.88</v>
      </c>
    </row>
    <row r="1481" spans="32:34">
      <c r="AF1481" s="367">
        <f t="shared" si="23"/>
        <v>41275</v>
      </c>
      <c r="AG1481" s="368">
        <v>41291</v>
      </c>
      <c r="AH1481" s="369">
        <v>1775.15</v>
      </c>
    </row>
    <row r="1482" spans="32:34">
      <c r="AF1482" s="367">
        <f t="shared" si="23"/>
        <v>41275</v>
      </c>
      <c r="AG1482" s="368">
        <v>41292</v>
      </c>
      <c r="AH1482" s="369">
        <v>1767.78</v>
      </c>
    </row>
    <row r="1483" spans="32:34">
      <c r="AF1483" s="367">
        <f t="shared" si="23"/>
        <v>41275</v>
      </c>
      <c r="AG1483" s="368">
        <v>41293</v>
      </c>
      <c r="AH1483" s="369">
        <v>1767.74</v>
      </c>
    </row>
    <row r="1484" spans="32:34">
      <c r="AF1484" s="367">
        <f t="shared" si="23"/>
        <v>41275</v>
      </c>
      <c r="AG1484" s="368">
        <v>41294</v>
      </c>
      <c r="AH1484" s="369">
        <v>1767.74</v>
      </c>
    </row>
    <row r="1485" spans="32:34">
      <c r="AF1485" s="367">
        <f t="shared" si="23"/>
        <v>41275</v>
      </c>
      <c r="AG1485" s="368">
        <v>41295</v>
      </c>
      <c r="AH1485" s="369">
        <v>1767.74</v>
      </c>
    </row>
    <row r="1486" spans="32:34">
      <c r="AF1486" s="367">
        <f t="shared" si="23"/>
        <v>41275</v>
      </c>
      <c r="AG1486" s="368">
        <v>41296</v>
      </c>
      <c r="AH1486" s="369">
        <v>1767.74</v>
      </c>
    </row>
    <row r="1487" spans="32:34">
      <c r="AF1487" s="367">
        <f t="shared" si="23"/>
        <v>41275</v>
      </c>
      <c r="AG1487" s="368">
        <v>41297</v>
      </c>
      <c r="AH1487" s="369">
        <v>1776.96</v>
      </c>
    </row>
    <row r="1488" spans="32:34">
      <c r="AF1488" s="367">
        <f t="shared" si="23"/>
        <v>41275</v>
      </c>
      <c r="AG1488" s="368">
        <v>41298</v>
      </c>
      <c r="AH1488" s="369">
        <v>1778.69</v>
      </c>
    </row>
    <row r="1489" spans="32:34">
      <c r="AF1489" s="367">
        <f t="shared" si="23"/>
        <v>41275</v>
      </c>
      <c r="AG1489" s="368">
        <v>41299</v>
      </c>
      <c r="AH1489" s="369">
        <v>1779.73</v>
      </c>
    </row>
    <row r="1490" spans="32:34">
      <c r="AF1490" s="367">
        <f t="shared" si="23"/>
        <v>41275</v>
      </c>
      <c r="AG1490" s="368">
        <v>41300</v>
      </c>
      <c r="AH1490" s="369">
        <v>1779.25</v>
      </c>
    </row>
    <row r="1491" spans="32:34">
      <c r="AF1491" s="367">
        <f t="shared" si="23"/>
        <v>41275</v>
      </c>
      <c r="AG1491" s="368">
        <v>41301</v>
      </c>
      <c r="AH1491" s="369">
        <v>1779.25</v>
      </c>
    </row>
    <row r="1492" spans="32:34">
      <c r="AF1492" s="367">
        <f t="shared" si="23"/>
        <v>41275</v>
      </c>
      <c r="AG1492" s="368">
        <v>41302</v>
      </c>
      <c r="AH1492" s="369">
        <v>1779.25</v>
      </c>
    </row>
    <row r="1493" spans="32:34">
      <c r="AF1493" s="367">
        <f t="shared" si="23"/>
        <v>41275</v>
      </c>
      <c r="AG1493" s="368">
        <v>41303</v>
      </c>
      <c r="AH1493" s="369">
        <v>1779.84</v>
      </c>
    </row>
    <row r="1494" spans="32:34">
      <c r="AF1494" s="367">
        <f t="shared" si="23"/>
        <v>41275</v>
      </c>
      <c r="AG1494" s="368">
        <v>41304</v>
      </c>
      <c r="AH1494" s="369">
        <v>1776.09</v>
      </c>
    </row>
    <row r="1495" spans="32:34">
      <c r="AF1495" s="367">
        <f t="shared" si="23"/>
        <v>41275</v>
      </c>
      <c r="AG1495" s="368">
        <v>41305</v>
      </c>
      <c r="AH1495" s="369">
        <v>1773.24</v>
      </c>
    </row>
    <row r="1496" spans="32:34">
      <c r="AF1496" s="367">
        <f t="shared" si="23"/>
        <v>41306</v>
      </c>
      <c r="AG1496" s="368">
        <v>41306</v>
      </c>
      <c r="AH1496" s="369">
        <v>1775.65</v>
      </c>
    </row>
    <row r="1497" spans="32:34">
      <c r="AF1497" s="367">
        <f t="shared" si="23"/>
        <v>41306</v>
      </c>
      <c r="AG1497" s="368">
        <v>41307</v>
      </c>
      <c r="AH1497" s="369">
        <v>1776.2</v>
      </c>
    </row>
    <row r="1498" spans="32:34">
      <c r="AF1498" s="367">
        <f t="shared" si="23"/>
        <v>41306</v>
      </c>
      <c r="AG1498" s="368">
        <v>41308</v>
      </c>
      <c r="AH1498" s="369">
        <v>1776.2</v>
      </c>
    </row>
    <row r="1499" spans="32:34">
      <c r="AF1499" s="367">
        <f t="shared" si="23"/>
        <v>41306</v>
      </c>
      <c r="AG1499" s="368">
        <v>41309</v>
      </c>
      <c r="AH1499" s="369">
        <v>1776.2</v>
      </c>
    </row>
    <row r="1500" spans="32:34">
      <c r="AF1500" s="367">
        <f t="shared" si="23"/>
        <v>41306</v>
      </c>
      <c r="AG1500" s="368">
        <v>41310</v>
      </c>
      <c r="AH1500" s="369">
        <v>1785.92</v>
      </c>
    </row>
    <row r="1501" spans="32:34">
      <c r="AF1501" s="367">
        <f t="shared" si="23"/>
        <v>41306</v>
      </c>
      <c r="AG1501" s="368">
        <v>41311</v>
      </c>
      <c r="AH1501" s="369">
        <v>1789.09</v>
      </c>
    </row>
    <row r="1502" spans="32:34">
      <c r="AF1502" s="367">
        <f t="shared" si="23"/>
        <v>41306</v>
      </c>
      <c r="AG1502" s="368">
        <v>41312</v>
      </c>
      <c r="AH1502" s="369">
        <v>1791.24</v>
      </c>
    </row>
    <row r="1503" spans="32:34">
      <c r="AF1503" s="367">
        <f t="shared" si="23"/>
        <v>41306</v>
      </c>
      <c r="AG1503" s="368">
        <v>41313</v>
      </c>
      <c r="AH1503" s="369">
        <v>1795.21</v>
      </c>
    </row>
    <row r="1504" spans="32:34">
      <c r="AF1504" s="367">
        <f t="shared" si="23"/>
        <v>41306</v>
      </c>
      <c r="AG1504" s="368">
        <v>41314</v>
      </c>
      <c r="AH1504" s="369">
        <v>1790.61</v>
      </c>
    </row>
    <row r="1505" spans="32:34">
      <c r="AF1505" s="367">
        <f t="shared" si="23"/>
        <v>41306</v>
      </c>
      <c r="AG1505" s="368">
        <v>41315</v>
      </c>
      <c r="AH1505" s="369">
        <v>1790.61</v>
      </c>
    </row>
    <row r="1506" spans="32:34">
      <c r="AF1506" s="367">
        <f t="shared" si="23"/>
        <v>41306</v>
      </c>
      <c r="AG1506" s="368">
        <v>41316</v>
      </c>
      <c r="AH1506" s="369">
        <v>1790.61</v>
      </c>
    </row>
    <row r="1507" spans="32:34">
      <c r="AF1507" s="367">
        <f t="shared" si="23"/>
        <v>41306</v>
      </c>
      <c r="AG1507" s="368">
        <v>41317</v>
      </c>
      <c r="AH1507" s="369">
        <v>1784.71</v>
      </c>
    </row>
    <row r="1508" spans="32:34">
      <c r="AF1508" s="367">
        <f t="shared" si="23"/>
        <v>41306</v>
      </c>
      <c r="AG1508" s="368">
        <v>41318</v>
      </c>
      <c r="AH1508" s="369">
        <v>1783.2</v>
      </c>
    </row>
    <row r="1509" spans="32:34">
      <c r="AF1509" s="367">
        <f t="shared" si="23"/>
        <v>41306</v>
      </c>
      <c r="AG1509" s="368">
        <v>41319</v>
      </c>
      <c r="AH1509" s="369">
        <v>1777.72</v>
      </c>
    </row>
    <row r="1510" spans="32:34">
      <c r="AF1510" s="367">
        <f t="shared" si="23"/>
        <v>41306</v>
      </c>
      <c r="AG1510" s="368">
        <v>41320</v>
      </c>
      <c r="AH1510" s="369">
        <v>1783.19</v>
      </c>
    </row>
    <row r="1511" spans="32:34">
      <c r="AF1511" s="367">
        <f t="shared" si="23"/>
        <v>41306</v>
      </c>
      <c r="AG1511" s="368">
        <v>41321</v>
      </c>
      <c r="AH1511" s="369">
        <v>1785.41</v>
      </c>
    </row>
    <row r="1512" spans="32:34">
      <c r="AF1512" s="367">
        <f t="shared" si="23"/>
        <v>41306</v>
      </c>
      <c r="AG1512" s="368">
        <v>41322</v>
      </c>
      <c r="AH1512" s="369">
        <v>1785.41</v>
      </c>
    </row>
    <row r="1513" spans="32:34">
      <c r="AF1513" s="367">
        <f t="shared" si="23"/>
        <v>41306</v>
      </c>
      <c r="AG1513" s="368">
        <v>41323</v>
      </c>
      <c r="AH1513" s="369">
        <v>1785.41</v>
      </c>
    </row>
    <row r="1514" spans="32:34">
      <c r="AF1514" s="367">
        <f t="shared" si="23"/>
        <v>41306</v>
      </c>
      <c r="AG1514" s="368">
        <v>41324</v>
      </c>
      <c r="AH1514" s="369">
        <v>1785.41</v>
      </c>
    </row>
    <row r="1515" spans="32:34">
      <c r="AF1515" s="367">
        <f t="shared" si="23"/>
        <v>41306</v>
      </c>
      <c r="AG1515" s="368">
        <v>41325</v>
      </c>
      <c r="AH1515" s="369">
        <v>1794.63</v>
      </c>
    </row>
    <row r="1516" spans="32:34">
      <c r="AF1516" s="367">
        <f t="shared" si="23"/>
        <v>41306</v>
      </c>
      <c r="AG1516" s="368">
        <v>41326</v>
      </c>
      <c r="AH1516" s="369">
        <v>1791.33</v>
      </c>
    </row>
    <row r="1517" spans="32:34">
      <c r="AF1517" s="367">
        <f t="shared" si="23"/>
        <v>41306</v>
      </c>
      <c r="AG1517" s="368">
        <v>41327</v>
      </c>
      <c r="AH1517" s="369">
        <v>1798.21</v>
      </c>
    </row>
    <row r="1518" spans="32:34">
      <c r="AF1518" s="367">
        <f t="shared" si="23"/>
        <v>41306</v>
      </c>
      <c r="AG1518" s="368">
        <v>41328</v>
      </c>
      <c r="AH1518" s="369">
        <v>1800.7</v>
      </c>
    </row>
    <row r="1519" spans="32:34">
      <c r="AF1519" s="367">
        <f t="shared" si="23"/>
        <v>41306</v>
      </c>
      <c r="AG1519" s="368">
        <v>41329</v>
      </c>
      <c r="AH1519" s="369">
        <v>1800.7</v>
      </c>
    </row>
    <row r="1520" spans="32:34">
      <c r="AF1520" s="367">
        <f t="shared" si="23"/>
        <v>41306</v>
      </c>
      <c r="AG1520" s="368">
        <v>41330</v>
      </c>
      <c r="AH1520" s="369">
        <v>1800.7</v>
      </c>
    </row>
    <row r="1521" spans="32:34">
      <c r="AF1521" s="367">
        <f t="shared" si="23"/>
        <v>41306</v>
      </c>
      <c r="AG1521" s="368">
        <v>41331</v>
      </c>
      <c r="AH1521" s="369">
        <v>1806.11</v>
      </c>
    </row>
    <row r="1522" spans="32:34">
      <c r="AF1522" s="367">
        <f t="shared" si="23"/>
        <v>41306</v>
      </c>
      <c r="AG1522" s="368">
        <v>41332</v>
      </c>
      <c r="AH1522" s="369">
        <v>1818.54</v>
      </c>
    </row>
    <row r="1523" spans="32:34">
      <c r="AF1523" s="367">
        <f t="shared" si="23"/>
        <v>41306</v>
      </c>
      <c r="AG1523" s="368">
        <v>41333</v>
      </c>
      <c r="AH1523" s="369">
        <v>1816.42</v>
      </c>
    </row>
    <row r="1524" spans="32:34">
      <c r="AF1524" s="367">
        <f t="shared" si="23"/>
        <v>41334</v>
      </c>
      <c r="AG1524" s="368">
        <v>41334</v>
      </c>
      <c r="AH1524" s="369">
        <v>1814.28</v>
      </c>
    </row>
    <row r="1525" spans="32:34">
      <c r="AF1525" s="367">
        <f t="shared" si="23"/>
        <v>41334</v>
      </c>
      <c r="AG1525" s="368">
        <v>41335</v>
      </c>
      <c r="AH1525" s="369">
        <v>1816.48</v>
      </c>
    </row>
    <row r="1526" spans="32:34">
      <c r="AF1526" s="367">
        <f t="shared" si="23"/>
        <v>41334</v>
      </c>
      <c r="AG1526" s="368">
        <v>41336</v>
      </c>
      <c r="AH1526" s="369">
        <v>1816.48</v>
      </c>
    </row>
    <row r="1527" spans="32:34">
      <c r="AF1527" s="367">
        <f t="shared" si="23"/>
        <v>41334</v>
      </c>
      <c r="AG1527" s="368">
        <v>41337</v>
      </c>
      <c r="AH1527" s="369">
        <v>1816.48</v>
      </c>
    </row>
    <row r="1528" spans="32:34">
      <c r="AF1528" s="367">
        <f t="shared" si="23"/>
        <v>41334</v>
      </c>
      <c r="AG1528" s="368">
        <v>41338</v>
      </c>
      <c r="AH1528" s="369">
        <v>1813.53</v>
      </c>
    </row>
    <row r="1529" spans="32:34">
      <c r="AF1529" s="367">
        <f t="shared" si="23"/>
        <v>41334</v>
      </c>
      <c r="AG1529" s="368">
        <v>41339</v>
      </c>
      <c r="AH1529" s="369">
        <v>1809.65</v>
      </c>
    </row>
    <row r="1530" spans="32:34">
      <c r="AF1530" s="367">
        <f t="shared" si="23"/>
        <v>41334</v>
      </c>
      <c r="AG1530" s="368">
        <v>41340</v>
      </c>
      <c r="AH1530" s="369">
        <v>1808</v>
      </c>
    </row>
    <row r="1531" spans="32:34">
      <c r="AF1531" s="367">
        <f t="shared" si="23"/>
        <v>41334</v>
      </c>
      <c r="AG1531" s="368">
        <v>41341</v>
      </c>
      <c r="AH1531" s="369">
        <v>1803.65</v>
      </c>
    </row>
    <row r="1532" spans="32:34">
      <c r="AF1532" s="367">
        <f t="shared" si="23"/>
        <v>41334</v>
      </c>
      <c r="AG1532" s="368">
        <v>41342</v>
      </c>
      <c r="AH1532" s="369">
        <v>1800.45</v>
      </c>
    </row>
    <row r="1533" spans="32:34">
      <c r="AF1533" s="367">
        <f t="shared" si="23"/>
        <v>41334</v>
      </c>
      <c r="AG1533" s="368">
        <v>41343</v>
      </c>
      <c r="AH1533" s="369">
        <v>1800.45</v>
      </c>
    </row>
    <row r="1534" spans="32:34">
      <c r="AF1534" s="367">
        <f t="shared" si="23"/>
        <v>41334</v>
      </c>
      <c r="AG1534" s="368">
        <v>41344</v>
      </c>
      <c r="AH1534" s="369">
        <v>1800.45</v>
      </c>
    </row>
    <row r="1535" spans="32:34">
      <c r="AF1535" s="367">
        <f t="shared" si="23"/>
        <v>41334</v>
      </c>
      <c r="AG1535" s="368">
        <v>41345</v>
      </c>
      <c r="AH1535" s="369">
        <v>1801.2</v>
      </c>
    </row>
    <row r="1536" spans="32:34">
      <c r="AF1536" s="367">
        <f t="shared" si="23"/>
        <v>41334</v>
      </c>
      <c r="AG1536" s="368">
        <v>41346</v>
      </c>
      <c r="AH1536" s="369">
        <v>1801.64</v>
      </c>
    </row>
    <row r="1537" spans="32:34">
      <c r="AF1537" s="367">
        <f t="shared" si="23"/>
        <v>41334</v>
      </c>
      <c r="AG1537" s="368">
        <v>41347</v>
      </c>
      <c r="AH1537" s="369">
        <v>1798.56</v>
      </c>
    </row>
    <row r="1538" spans="32:34">
      <c r="AF1538" s="367">
        <f t="shared" si="23"/>
        <v>41334</v>
      </c>
      <c r="AG1538" s="368">
        <v>41348</v>
      </c>
      <c r="AH1538" s="369">
        <v>1797.28</v>
      </c>
    </row>
    <row r="1539" spans="32:34">
      <c r="AF1539" s="367">
        <f t="shared" si="23"/>
        <v>41334</v>
      </c>
      <c r="AG1539" s="368">
        <v>41349</v>
      </c>
      <c r="AH1539" s="369">
        <v>1804.06</v>
      </c>
    </row>
    <row r="1540" spans="32:34">
      <c r="AF1540" s="367">
        <f t="shared" ref="AF1540:AF1603" si="24">+DATE(YEAR(AG1540),MONTH(AG1540),1)</f>
        <v>41334</v>
      </c>
      <c r="AG1540" s="368">
        <v>41350</v>
      </c>
      <c r="AH1540" s="369">
        <v>1804.06</v>
      </c>
    </row>
    <row r="1541" spans="32:34">
      <c r="AF1541" s="367">
        <f t="shared" si="24"/>
        <v>41334</v>
      </c>
      <c r="AG1541" s="368">
        <v>41351</v>
      </c>
      <c r="AH1541" s="369">
        <v>1804.06</v>
      </c>
    </row>
    <row r="1542" spans="32:34">
      <c r="AF1542" s="367">
        <f t="shared" si="24"/>
        <v>41334</v>
      </c>
      <c r="AG1542" s="368">
        <v>41352</v>
      </c>
      <c r="AH1542" s="369">
        <v>1809.58</v>
      </c>
    </row>
    <row r="1543" spans="32:34">
      <c r="AF1543" s="367">
        <f t="shared" si="24"/>
        <v>41334</v>
      </c>
      <c r="AG1543" s="368">
        <v>41353</v>
      </c>
      <c r="AH1543" s="369">
        <v>1809.83</v>
      </c>
    </row>
    <row r="1544" spans="32:34">
      <c r="AF1544" s="367">
        <f t="shared" si="24"/>
        <v>41334</v>
      </c>
      <c r="AG1544" s="368">
        <v>41354</v>
      </c>
      <c r="AH1544" s="369">
        <v>1812.35</v>
      </c>
    </row>
    <row r="1545" spans="32:34">
      <c r="AF1545" s="367">
        <f t="shared" si="24"/>
        <v>41334</v>
      </c>
      <c r="AG1545" s="368">
        <v>41355</v>
      </c>
      <c r="AH1545" s="369">
        <v>1822.78</v>
      </c>
    </row>
    <row r="1546" spans="32:34">
      <c r="AF1546" s="367">
        <f t="shared" si="24"/>
        <v>41334</v>
      </c>
      <c r="AG1546" s="368">
        <v>41356</v>
      </c>
      <c r="AH1546" s="369">
        <v>1825.79</v>
      </c>
    </row>
    <row r="1547" spans="32:34">
      <c r="AF1547" s="367">
        <f t="shared" si="24"/>
        <v>41334</v>
      </c>
      <c r="AG1547" s="368">
        <v>41357</v>
      </c>
      <c r="AH1547" s="369">
        <v>1825.79</v>
      </c>
    </row>
    <row r="1548" spans="32:34">
      <c r="AF1548" s="367">
        <f t="shared" si="24"/>
        <v>41334</v>
      </c>
      <c r="AG1548" s="368">
        <v>41358</v>
      </c>
      <c r="AH1548" s="369">
        <v>1825.79</v>
      </c>
    </row>
    <row r="1549" spans="32:34">
      <c r="AF1549" s="367">
        <f t="shared" si="24"/>
        <v>41334</v>
      </c>
      <c r="AG1549" s="368">
        <v>41359</v>
      </c>
      <c r="AH1549" s="369">
        <v>1825.79</v>
      </c>
    </row>
    <row r="1550" spans="32:34">
      <c r="AF1550" s="367">
        <f t="shared" si="24"/>
        <v>41334</v>
      </c>
      <c r="AG1550" s="368">
        <v>41360</v>
      </c>
      <c r="AH1550" s="369">
        <v>1828.95</v>
      </c>
    </row>
    <row r="1551" spans="32:34">
      <c r="AF1551" s="367">
        <f t="shared" si="24"/>
        <v>41334</v>
      </c>
      <c r="AG1551" s="368">
        <v>41361</v>
      </c>
      <c r="AH1551" s="369">
        <v>1832.2</v>
      </c>
    </row>
    <row r="1552" spans="32:34">
      <c r="AF1552" s="367">
        <f t="shared" si="24"/>
        <v>41334</v>
      </c>
      <c r="AG1552" s="368">
        <v>41362</v>
      </c>
      <c r="AH1552" s="369">
        <v>1832.2</v>
      </c>
    </row>
    <row r="1553" spans="32:34">
      <c r="AF1553" s="367">
        <f t="shared" si="24"/>
        <v>41334</v>
      </c>
      <c r="AG1553" s="368">
        <v>41363</v>
      </c>
      <c r="AH1553" s="369">
        <v>1832.2</v>
      </c>
    </row>
    <row r="1554" spans="32:34">
      <c r="AF1554" s="367">
        <f t="shared" si="24"/>
        <v>41334</v>
      </c>
      <c r="AG1554" s="368">
        <v>41364</v>
      </c>
      <c r="AH1554" s="369">
        <v>1832.2</v>
      </c>
    </row>
    <row r="1555" spans="32:34">
      <c r="AF1555" s="367">
        <f t="shared" si="24"/>
        <v>41365</v>
      </c>
      <c r="AG1555" s="368">
        <v>41365</v>
      </c>
      <c r="AH1555" s="369">
        <v>1832.2</v>
      </c>
    </row>
    <row r="1556" spans="32:34">
      <c r="AF1556" s="367">
        <f t="shared" si="24"/>
        <v>41365</v>
      </c>
      <c r="AG1556" s="368">
        <v>41366</v>
      </c>
      <c r="AH1556" s="369">
        <v>1823.12</v>
      </c>
    </row>
    <row r="1557" spans="32:34">
      <c r="AF1557" s="367">
        <f t="shared" si="24"/>
        <v>41365</v>
      </c>
      <c r="AG1557" s="368">
        <v>41367</v>
      </c>
      <c r="AH1557" s="369">
        <v>1817.14</v>
      </c>
    </row>
    <row r="1558" spans="32:34">
      <c r="AF1558" s="367">
        <f t="shared" si="24"/>
        <v>41365</v>
      </c>
      <c r="AG1558" s="368">
        <v>41368</v>
      </c>
      <c r="AH1558" s="369">
        <v>1819.93</v>
      </c>
    </row>
    <row r="1559" spans="32:34">
      <c r="AF1559" s="367">
        <f t="shared" si="24"/>
        <v>41365</v>
      </c>
      <c r="AG1559" s="368">
        <v>41369</v>
      </c>
      <c r="AH1559" s="369">
        <v>1829.01</v>
      </c>
    </row>
    <row r="1560" spans="32:34">
      <c r="AF1560" s="367">
        <f t="shared" si="24"/>
        <v>41365</v>
      </c>
      <c r="AG1560" s="368">
        <v>41370</v>
      </c>
      <c r="AH1560" s="369">
        <v>1826.88</v>
      </c>
    </row>
    <row r="1561" spans="32:34">
      <c r="AF1561" s="367">
        <f t="shared" si="24"/>
        <v>41365</v>
      </c>
      <c r="AG1561" s="368">
        <v>41371</v>
      </c>
      <c r="AH1561" s="369">
        <v>1826.88</v>
      </c>
    </row>
    <row r="1562" spans="32:34">
      <c r="AF1562" s="367">
        <f t="shared" si="24"/>
        <v>41365</v>
      </c>
      <c r="AG1562" s="368">
        <v>41372</v>
      </c>
      <c r="AH1562" s="369">
        <v>1826.88</v>
      </c>
    </row>
    <row r="1563" spans="32:34">
      <c r="AF1563" s="367">
        <f t="shared" si="24"/>
        <v>41365</v>
      </c>
      <c r="AG1563" s="368">
        <v>41373</v>
      </c>
      <c r="AH1563" s="369">
        <v>1817.66</v>
      </c>
    </row>
    <row r="1564" spans="32:34">
      <c r="AF1564" s="367">
        <f t="shared" si="24"/>
        <v>41365</v>
      </c>
      <c r="AG1564" s="368">
        <v>41374</v>
      </c>
      <c r="AH1564" s="369">
        <v>1813.11</v>
      </c>
    </row>
    <row r="1565" spans="32:34">
      <c r="AF1565" s="367">
        <f t="shared" si="24"/>
        <v>41365</v>
      </c>
      <c r="AG1565" s="368">
        <v>41375</v>
      </c>
      <c r="AH1565" s="369">
        <v>1821.2</v>
      </c>
    </row>
    <row r="1566" spans="32:34">
      <c r="AF1566" s="367">
        <f t="shared" si="24"/>
        <v>41365</v>
      </c>
      <c r="AG1566" s="368">
        <v>41376</v>
      </c>
      <c r="AH1566" s="369">
        <v>1823.84</v>
      </c>
    </row>
    <row r="1567" spans="32:34">
      <c r="AF1567" s="367">
        <f t="shared" si="24"/>
        <v>41365</v>
      </c>
      <c r="AG1567" s="368">
        <v>41377</v>
      </c>
      <c r="AH1567" s="369">
        <v>1827.79</v>
      </c>
    </row>
    <row r="1568" spans="32:34">
      <c r="AF1568" s="367">
        <f t="shared" si="24"/>
        <v>41365</v>
      </c>
      <c r="AG1568" s="368">
        <v>41378</v>
      </c>
      <c r="AH1568" s="369">
        <v>1827.79</v>
      </c>
    </row>
    <row r="1569" spans="32:34">
      <c r="AF1569" s="367">
        <f t="shared" si="24"/>
        <v>41365</v>
      </c>
      <c r="AG1569" s="368">
        <v>41379</v>
      </c>
      <c r="AH1569" s="369">
        <v>1827.79</v>
      </c>
    </row>
    <row r="1570" spans="32:34">
      <c r="AF1570" s="367">
        <f t="shared" si="24"/>
        <v>41365</v>
      </c>
      <c r="AG1570" s="368">
        <v>41380</v>
      </c>
      <c r="AH1570" s="369">
        <v>1834.86</v>
      </c>
    </row>
    <row r="1571" spans="32:34">
      <c r="AF1571" s="367">
        <f t="shared" si="24"/>
        <v>41365</v>
      </c>
      <c r="AG1571" s="368">
        <v>41381</v>
      </c>
      <c r="AH1571" s="369">
        <v>1833.98</v>
      </c>
    </row>
    <row r="1572" spans="32:34">
      <c r="AF1572" s="367">
        <f t="shared" si="24"/>
        <v>41365</v>
      </c>
      <c r="AG1572" s="368">
        <v>41382</v>
      </c>
      <c r="AH1572" s="369">
        <v>1846.46</v>
      </c>
    </row>
    <row r="1573" spans="32:34">
      <c r="AF1573" s="367">
        <f t="shared" si="24"/>
        <v>41365</v>
      </c>
      <c r="AG1573" s="368">
        <v>41383</v>
      </c>
      <c r="AH1573" s="369">
        <v>1847.02</v>
      </c>
    </row>
    <row r="1574" spans="32:34">
      <c r="AF1574" s="367">
        <f t="shared" si="24"/>
        <v>41365</v>
      </c>
      <c r="AG1574" s="368">
        <v>41384</v>
      </c>
      <c r="AH1574" s="369">
        <v>1835.57</v>
      </c>
    </row>
    <row r="1575" spans="32:34">
      <c r="AF1575" s="367">
        <f t="shared" si="24"/>
        <v>41365</v>
      </c>
      <c r="AG1575" s="368">
        <v>41385</v>
      </c>
      <c r="AH1575" s="369">
        <v>1835.57</v>
      </c>
    </row>
    <row r="1576" spans="32:34">
      <c r="AF1576" s="367">
        <f t="shared" si="24"/>
        <v>41365</v>
      </c>
      <c r="AG1576" s="368">
        <v>41386</v>
      </c>
      <c r="AH1576" s="369">
        <v>1835.57</v>
      </c>
    </row>
    <row r="1577" spans="32:34">
      <c r="AF1577" s="367">
        <f t="shared" si="24"/>
        <v>41365</v>
      </c>
      <c r="AG1577" s="368">
        <v>41387</v>
      </c>
      <c r="AH1577" s="369">
        <v>1841.14</v>
      </c>
    </row>
    <row r="1578" spans="32:34">
      <c r="AF1578" s="367">
        <f t="shared" si="24"/>
        <v>41365</v>
      </c>
      <c r="AG1578" s="368">
        <v>41388</v>
      </c>
      <c r="AH1578" s="369">
        <v>1838.03</v>
      </c>
    </row>
    <row r="1579" spans="32:34">
      <c r="AF1579" s="367">
        <f t="shared" si="24"/>
        <v>41365</v>
      </c>
      <c r="AG1579" s="368">
        <v>41389</v>
      </c>
      <c r="AH1579" s="369">
        <v>1836.79</v>
      </c>
    </row>
    <row r="1580" spans="32:34">
      <c r="AF1580" s="367">
        <f t="shared" si="24"/>
        <v>41365</v>
      </c>
      <c r="AG1580" s="368">
        <v>41390</v>
      </c>
      <c r="AH1580" s="369">
        <v>1830.84</v>
      </c>
    </row>
    <row r="1581" spans="32:34">
      <c r="AF1581" s="367">
        <f t="shared" si="24"/>
        <v>41365</v>
      </c>
      <c r="AG1581" s="368">
        <v>41391</v>
      </c>
      <c r="AH1581" s="369">
        <v>1833.7</v>
      </c>
    </row>
    <row r="1582" spans="32:34">
      <c r="AF1582" s="367">
        <f t="shared" si="24"/>
        <v>41365</v>
      </c>
      <c r="AG1582" s="368">
        <v>41392</v>
      </c>
      <c r="AH1582" s="369">
        <v>1833.7</v>
      </c>
    </row>
    <row r="1583" spans="32:34">
      <c r="AF1583" s="367">
        <f t="shared" si="24"/>
        <v>41365</v>
      </c>
      <c r="AG1583" s="368">
        <v>41393</v>
      </c>
      <c r="AH1583" s="369">
        <v>1833.7</v>
      </c>
    </row>
    <row r="1584" spans="32:34">
      <c r="AF1584" s="367">
        <f t="shared" si="24"/>
        <v>41365</v>
      </c>
      <c r="AG1584" s="368">
        <v>41394</v>
      </c>
      <c r="AH1584" s="369">
        <v>1828.79</v>
      </c>
    </row>
    <row r="1585" spans="32:34">
      <c r="AF1585" s="367">
        <f t="shared" si="24"/>
        <v>41395</v>
      </c>
      <c r="AG1585" s="368">
        <v>41395</v>
      </c>
      <c r="AH1585" s="369">
        <v>1825.83</v>
      </c>
    </row>
    <row r="1586" spans="32:34">
      <c r="AF1586" s="367">
        <f t="shared" si="24"/>
        <v>41395</v>
      </c>
      <c r="AG1586" s="368">
        <v>41396</v>
      </c>
      <c r="AH1586" s="369">
        <v>1825.83</v>
      </c>
    </row>
    <row r="1587" spans="32:34">
      <c r="AF1587" s="367">
        <f t="shared" si="24"/>
        <v>41395</v>
      </c>
      <c r="AG1587" s="368">
        <v>41397</v>
      </c>
      <c r="AH1587" s="369">
        <v>1836.34</v>
      </c>
    </row>
    <row r="1588" spans="32:34">
      <c r="AF1588" s="367">
        <f t="shared" si="24"/>
        <v>41395</v>
      </c>
      <c r="AG1588" s="368">
        <v>41398</v>
      </c>
      <c r="AH1588" s="369">
        <v>1835.88</v>
      </c>
    </row>
    <row r="1589" spans="32:34">
      <c r="AF1589" s="367">
        <f t="shared" si="24"/>
        <v>41395</v>
      </c>
      <c r="AG1589" s="368">
        <v>41399</v>
      </c>
      <c r="AH1589" s="369">
        <v>1835.88</v>
      </c>
    </row>
    <row r="1590" spans="32:34">
      <c r="AF1590" s="367">
        <f t="shared" si="24"/>
        <v>41395</v>
      </c>
      <c r="AG1590" s="368">
        <v>41400</v>
      </c>
      <c r="AH1590" s="369">
        <v>1835.88</v>
      </c>
    </row>
    <row r="1591" spans="32:34">
      <c r="AF1591" s="367">
        <f t="shared" si="24"/>
        <v>41395</v>
      </c>
      <c r="AG1591" s="368">
        <v>41401</v>
      </c>
      <c r="AH1591" s="369">
        <v>1831.42</v>
      </c>
    </row>
    <row r="1592" spans="32:34">
      <c r="AF1592" s="367">
        <f t="shared" si="24"/>
        <v>41395</v>
      </c>
      <c r="AG1592" s="368">
        <v>41402</v>
      </c>
      <c r="AH1592" s="369">
        <v>1827.13</v>
      </c>
    </row>
    <row r="1593" spans="32:34">
      <c r="AF1593" s="367">
        <f t="shared" si="24"/>
        <v>41395</v>
      </c>
      <c r="AG1593" s="368">
        <v>41403</v>
      </c>
      <c r="AH1593" s="369">
        <v>1830.7</v>
      </c>
    </row>
    <row r="1594" spans="32:34">
      <c r="AF1594" s="367">
        <f t="shared" si="24"/>
        <v>41395</v>
      </c>
      <c r="AG1594" s="368">
        <v>41404</v>
      </c>
      <c r="AH1594" s="369">
        <v>1833.07</v>
      </c>
    </row>
    <row r="1595" spans="32:34">
      <c r="AF1595" s="367">
        <f t="shared" si="24"/>
        <v>41395</v>
      </c>
      <c r="AG1595" s="368">
        <v>41405</v>
      </c>
      <c r="AH1595" s="369">
        <v>1834.83</v>
      </c>
    </row>
    <row r="1596" spans="32:34">
      <c r="AF1596" s="367">
        <f t="shared" si="24"/>
        <v>41395</v>
      </c>
      <c r="AG1596" s="368">
        <v>41406</v>
      </c>
      <c r="AH1596" s="369">
        <v>1834.83</v>
      </c>
    </row>
    <row r="1597" spans="32:34">
      <c r="AF1597" s="367">
        <f t="shared" si="24"/>
        <v>41395</v>
      </c>
      <c r="AG1597" s="368">
        <v>41407</v>
      </c>
      <c r="AH1597" s="369">
        <v>1834.83</v>
      </c>
    </row>
    <row r="1598" spans="32:34">
      <c r="AF1598" s="367">
        <f t="shared" si="24"/>
        <v>41395</v>
      </c>
      <c r="AG1598" s="368">
        <v>41408</v>
      </c>
      <c r="AH1598" s="369">
        <v>1834.83</v>
      </c>
    </row>
    <row r="1599" spans="32:34">
      <c r="AF1599" s="367">
        <f t="shared" si="24"/>
        <v>41395</v>
      </c>
      <c r="AG1599" s="368">
        <v>41409</v>
      </c>
      <c r="AH1599" s="369">
        <v>1838.63</v>
      </c>
    </row>
    <row r="1600" spans="32:34">
      <c r="AF1600" s="367">
        <f t="shared" si="24"/>
        <v>41395</v>
      </c>
      <c r="AG1600" s="368">
        <v>41410</v>
      </c>
      <c r="AH1600" s="369">
        <v>1843.75</v>
      </c>
    </row>
    <row r="1601" spans="32:34">
      <c r="AF1601" s="367">
        <f t="shared" si="24"/>
        <v>41395</v>
      </c>
      <c r="AG1601" s="368">
        <v>41411</v>
      </c>
      <c r="AH1601" s="369">
        <v>1838.82</v>
      </c>
    </row>
    <row r="1602" spans="32:34">
      <c r="AF1602" s="367">
        <f t="shared" si="24"/>
        <v>41395</v>
      </c>
      <c r="AG1602" s="368">
        <v>41412</v>
      </c>
      <c r="AH1602" s="369">
        <v>1841.35</v>
      </c>
    </row>
    <row r="1603" spans="32:34">
      <c r="AF1603" s="367">
        <f t="shared" si="24"/>
        <v>41395</v>
      </c>
      <c r="AG1603" s="368">
        <v>41413</v>
      </c>
      <c r="AH1603" s="369">
        <v>1841.35</v>
      </c>
    </row>
    <row r="1604" spans="32:34">
      <c r="AF1604" s="367">
        <f t="shared" ref="AF1604:AF1667" si="25">+DATE(YEAR(AG1604),MONTH(AG1604),1)</f>
        <v>41395</v>
      </c>
      <c r="AG1604" s="368">
        <v>41414</v>
      </c>
      <c r="AH1604" s="369">
        <v>1841.35</v>
      </c>
    </row>
    <row r="1605" spans="32:34">
      <c r="AF1605" s="367">
        <f t="shared" si="25"/>
        <v>41395</v>
      </c>
      <c r="AG1605" s="368">
        <v>41415</v>
      </c>
      <c r="AH1605" s="369">
        <v>1842.59</v>
      </c>
    </row>
    <row r="1606" spans="32:34">
      <c r="AF1606" s="367">
        <f t="shared" si="25"/>
        <v>41395</v>
      </c>
      <c r="AG1606" s="368">
        <v>41416</v>
      </c>
      <c r="AH1606" s="369">
        <v>1846.76</v>
      </c>
    </row>
    <row r="1607" spans="32:34">
      <c r="AF1607" s="367">
        <f t="shared" si="25"/>
        <v>41395</v>
      </c>
      <c r="AG1607" s="368">
        <v>41417</v>
      </c>
      <c r="AH1607" s="369">
        <v>1850.55</v>
      </c>
    </row>
    <row r="1608" spans="32:34">
      <c r="AF1608" s="367">
        <f t="shared" si="25"/>
        <v>41395</v>
      </c>
      <c r="AG1608" s="368">
        <v>41418</v>
      </c>
      <c r="AH1608" s="369">
        <v>1864.02</v>
      </c>
    </row>
    <row r="1609" spans="32:34">
      <c r="AF1609" s="367">
        <f t="shared" si="25"/>
        <v>41395</v>
      </c>
      <c r="AG1609" s="368">
        <v>41419</v>
      </c>
      <c r="AH1609" s="369">
        <v>1874.1</v>
      </c>
    </row>
    <row r="1610" spans="32:34">
      <c r="AF1610" s="367">
        <f t="shared" si="25"/>
        <v>41395</v>
      </c>
      <c r="AG1610" s="368">
        <v>41420</v>
      </c>
      <c r="AH1610" s="369">
        <v>1874.1</v>
      </c>
    </row>
    <row r="1611" spans="32:34">
      <c r="AF1611" s="367">
        <f t="shared" si="25"/>
        <v>41395</v>
      </c>
      <c r="AG1611" s="368">
        <v>41421</v>
      </c>
      <c r="AH1611" s="369">
        <v>1874.1</v>
      </c>
    </row>
    <row r="1612" spans="32:34">
      <c r="AF1612" s="367">
        <f t="shared" si="25"/>
        <v>41395</v>
      </c>
      <c r="AG1612" s="368">
        <v>41422</v>
      </c>
      <c r="AH1612" s="369">
        <v>1874.1</v>
      </c>
    </row>
    <row r="1613" spans="32:34">
      <c r="AF1613" s="367">
        <f t="shared" si="25"/>
        <v>41395</v>
      </c>
      <c r="AG1613" s="368">
        <v>41423</v>
      </c>
      <c r="AH1613" s="369">
        <v>1897.1</v>
      </c>
    </row>
    <row r="1614" spans="32:34">
      <c r="AF1614" s="367">
        <f t="shared" si="25"/>
        <v>41395</v>
      </c>
      <c r="AG1614" s="368">
        <v>41424</v>
      </c>
      <c r="AH1614" s="369">
        <v>1894.13</v>
      </c>
    </row>
    <row r="1615" spans="32:34">
      <c r="AF1615" s="367">
        <f t="shared" si="25"/>
        <v>41395</v>
      </c>
      <c r="AG1615" s="368">
        <v>41425</v>
      </c>
      <c r="AH1615" s="369">
        <v>1891.48</v>
      </c>
    </row>
    <row r="1616" spans="32:34">
      <c r="AF1616" s="367">
        <f t="shared" si="25"/>
        <v>41426</v>
      </c>
      <c r="AG1616" s="368">
        <v>41426</v>
      </c>
      <c r="AH1616" s="369">
        <v>1907.76</v>
      </c>
    </row>
    <row r="1617" spans="32:34">
      <c r="AF1617" s="367">
        <f t="shared" si="25"/>
        <v>41426</v>
      </c>
      <c r="AG1617" s="368">
        <v>41427</v>
      </c>
      <c r="AH1617" s="369">
        <v>1907.76</v>
      </c>
    </row>
    <row r="1618" spans="32:34">
      <c r="AF1618" s="367">
        <f t="shared" si="25"/>
        <v>41426</v>
      </c>
      <c r="AG1618" s="368">
        <v>41428</v>
      </c>
      <c r="AH1618" s="369">
        <v>1907.76</v>
      </c>
    </row>
    <row r="1619" spans="32:34">
      <c r="AF1619" s="367">
        <f t="shared" si="25"/>
        <v>41426</v>
      </c>
      <c r="AG1619" s="368">
        <v>41429</v>
      </c>
      <c r="AH1619" s="369">
        <v>1907.76</v>
      </c>
    </row>
    <row r="1620" spans="32:34">
      <c r="AF1620" s="367">
        <f t="shared" si="25"/>
        <v>41426</v>
      </c>
      <c r="AG1620" s="368">
        <v>41430</v>
      </c>
      <c r="AH1620" s="369">
        <v>1894.4</v>
      </c>
    </row>
    <row r="1621" spans="32:34">
      <c r="AF1621" s="367">
        <f t="shared" si="25"/>
        <v>41426</v>
      </c>
      <c r="AG1621" s="368">
        <v>41431</v>
      </c>
      <c r="AH1621" s="369">
        <v>1899.08</v>
      </c>
    </row>
    <row r="1622" spans="32:34">
      <c r="AF1622" s="367">
        <f t="shared" si="25"/>
        <v>41426</v>
      </c>
      <c r="AG1622" s="368">
        <v>41432</v>
      </c>
      <c r="AH1622" s="369">
        <v>1907.88</v>
      </c>
    </row>
    <row r="1623" spans="32:34">
      <c r="AF1623" s="367">
        <f t="shared" si="25"/>
        <v>41426</v>
      </c>
      <c r="AG1623" s="368">
        <v>41433</v>
      </c>
      <c r="AH1623" s="369">
        <v>1898.8</v>
      </c>
    </row>
    <row r="1624" spans="32:34">
      <c r="AF1624" s="367">
        <f t="shared" si="25"/>
        <v>41426</v>
      </c>
      <c r="AG1624" s="368">
        <v>41434</v>
      </c>
      <c r="AH1624" s="369">
        <v>1898.8</v>
      </c>
    </row>
    <row r="1625" spans="32:34">
      <c r="AF1625" s="367">
        <f t="shared" si="25"/>
        <v>41426</v>
      </c>
      <c r="AG1625" s="368">
        <v>41435</v>
      </c>
      <c r="AH1625" s="369">
        <v>1898.8</v>
      </c>
    </row>
    <row r="1626" spans="32:34">
      <c r="AF1626" s="367">
        <f t="shared" si="25"/>
        <v>41426</v>
      </c>
      <c r="AG1626" s="368">
        <v>41436</v>
      </c>
      <c r="AH1626" s="369">
        <v>1898.8</v>
      </c>
    </row>
    <row r="1627" spans="32:34">
      <c r="AF1627" s="367">
        <f t="shared" si="25"/>
        <v>41426</v>
      </c>
      <c r="AG1627" s="368">
        <v>41437</v>
      </c>
      <c r="AH1627" s="369">
        <v>1907.12</v>
      </c>
    </row>
    <row r="1628" spans="32:34">
      <c r="AF1628" s="367">
        <f t="shared" si="25"/>
        <v>41426</v>
      </c>
      <c r="AG1628" s="368">
        <v>41438</v>
      </c>
      <c r="AH1628" s="369">
        <v>1897.53</v>
      </c>
    </row>
    <row r="1629" spans="32:34">
      <c r="AF1629" s="367">
        <f t="shared" si="25"/>
        <v>41426</v>
      </c>
      <c r="AG1629" s="368">
        <v>41439</v>
      </c>
      <c r="AH1629" s="369">
        <v>1895.01</v>
      </c>
    </row>
    <row r="1630" spans="32:34">
      <c r="AF1630" s="367">
        <f t="shared" si="25"/>
        <v>41426</v>
      </c>
      <c r="AG1630" s="368">
        <v>41440</v>
      </c>
      <c r="AH1630" s="369">
        <v>1882.38</v>
      </c>
    </row>
    <row r="1631" spans="32:34">
      <c r="AF1631" s="367">
        <f t="shared" si="25"/>
        <v>41426</v>
      </c>
      <c r="AG1631" s="368">
        <v>41441</v>
      </c>
      <c r="AH1631" s="369">
        <v>1882.38</v>
      </c>
    </row>
    <row r="1632" spans="32:34">
      <c r="AF1632" s="367">
        <f t="shared" si="25"/>
        <v>41426</v>
      </c>
      <c r="AG1632" s="368">
        <v>41442</v>
      </c>
      <c r="AH1632" s="369">
        <v>1882.38</v>
      </c>
    </row>
    <row r="1633" spans="32:34">
      <c r="AF1633" s="367">
        <f t="shared" si="25"/>
        <v>41426</v>
      </c>
      <c r="AG1633" s="368">
        <v>41443</v>
      </c>
      <c r="AH1633" s="369">
        <v>1883.57</v>
      </c>
    </row>
    <row r="1634" spans="32:34">
      <c r="AF1634" s="367">
        <f t="shared" si="25"/>
        <v>41426</v>
      </c>
      <c r="AG1634" s="368">
        <v>41444</v>
      </c>
      <c r="AH1634" s="369">
        <v>1902.47</v>
      </c>
    </row>
    <row r="1635" spans="32:34">
      <c r="AF1635" s="367">
        <f t="shared" si="25"/>
        <v>41426</v>
      </c>
      <c r="AG1635" s="368">
        <v>41445</v>
      </c>
      <c r="AH1635" s="369">
        <v>1900.87</v>
      </c>
    </row>
    <row r="1636" spans="32:34">
      <c r="AF1636" s="367">
        <f t="shared" si="25"/>
        <v>41426</v>
      </c>
      <c r="AG1636" s="368">
        <v>41446</v>
      </c>
      <c r="AH1636" s="369">
        <v>1937.26</v>
      </c>
    </row>
    <row r="1637" spans="32:34">
      <c r="AF1637" s="367">
        <f t="shared" si="25"/>
        <v>41426</v>
      </c>
      <c r="AG1637" s="368">
        <v>41447</v>
      </c>
      <c r="AH1637" s="369">
        <v>1941.06</v>
      </c>
    </row>
    <row r="1638" spans="32:34">
      <c r="AF1638" s="367">
        <f t="shared" si="25"/>
        <v>41426</v>
      </c>
      <c r="AG1638" s="368">
        <v>41448</v>
      </c>
      <c r="AH1638" s="369">
        <v>1941.06</v>
      </c>
    </row>
    <row r="1639" spans="32:34">
      <c r="AF1639" s="367">
        <f t="shared" si="25"/>
        <v>41426</v>
      </c>
      <c r="AG1639" s="368">
        <v>41449</v>
      </c>
      <c r="AH1639" s="369">
        <v>1941.06</v>
      </c>
    </row>
    <row r="1640" spans="32:34">
      <c r="AF1640" s="367">
        <f t="shared" si="25"/>
        <v>41426</v>
      </c>
      <c r="AG1640" s="368">
        <v>41450</v>
      </c>
      <c r="AH1640" s="369">
        <v>1942.97</v>
      </c>
    </row>
    <row r="1641" spans="32:34">
      <c r="AF1641" s="367">
        <f t="shared" si="25"/>
        <v>41426</v>
      </c>
      <c r="AG1641" s="368">
        <v>41451</v>
      </c>
      <c r="AH1641" s="369">
        <v>1928.27</v>
      </c>
    </row>
    <row r="1642" spans="32:34">
      <c r="AF1642" s="367">
        <f t="shared" si="25"/>
        <v>41426</v>
      </c>
      <c r="AG1642" s="368">
        <v>41452</v>
      </c>
      <c r="AH1642" s="369">
        <v>1921.86</v>
      </c>
    </row>
    <row r="1643" spans="32:34">
      <c r="AF1643" s="367">
        <f t="shared" si="25"/>
        <v>41426</v>
      </c>
      <c r="AG1643" s="368">
        <v>41453</v>
      </c>
      <c r="AH1643" s="369">
        <v>1922.63</v>
      </c>
    </row>
    <row r="1644" spans="32:34">
      <c r="AF1644" s="367">
        <f t="shared" si="25"/>
        <v>41426</v>
      </c>
      <c r="AG1644" s="368">
        <v>41454</v>
      </c>
      <c r="AH1644" s="369">
        <v>1929</v>
      </c>
    </row>
    <row r="1645" spans="32:34">
      <c r="AF1645" s="367">
        <f t="shared" si="25"/>
        <v>41426</v>
      </c>
      <c r="AG1645" s="368">
        <v>41455</v>
      </c>
      <c r="AH1645" s="369">
        <v>1929</v>
      </c>
    </row>
    <row r="1646" spans="32:34">
      <c r="AF1646" s="367">
        <f t="shared" si="25"/>
        <v>41456</v>
      </c>
      <c r="AG1646" s="368">
        <v>41456</v>
      </c>
      <c r="AH1646" s="369">
        <v>1929</v>
      </c>
    </row>
    <row r="1647" spans="32:34">
      <c r="AF1647" s="367">
        <f t="shared" si="25"/>
        <v>41456</v>
      </c>
      <c r="AG1647" s="368">
        <v>41457</v>
      </c>
      <c r="AH1647" s="369">
        <v>1929</v>
      </c>
    </row>
    <row r="1648" spans="32:34">
      <c r="AF1648" s="367">
        <f t="shared" si="25"/>
        <v>41456</v>
      </c>
      <c r="AG1648" s="368">
        <v>41458</v>
      </c>
      <c r="AH1648" s="369">
        <v>1919.42</v>
      </c>
    </row>
    <row r="1649" spans="32:34">
      <c r="AF1649" s="367">
        <f t="shared" si="25"/>
        <v>41456</v>
      </c>
      <c r="AG1649" s="368">
        <v>41459</v>
      </c>
      <c r="AH1649" s="369">
        <v>1915.45</v>
      </c>
    </row>
    <row r="1650" spans="32:34">
      <c r="AF1650" s="367">
        <f t="shared" si="25"/>
        <v>41456</v>
      </c>
      <c r="AG1650" s="368">
        <v>41460</v>
      </c>
      <c r="AH1650" s="369">
        <v>1915.45</v>
      </c>
    </row>
    <row r="1651" spans="32:34">
      <c r="AF1651" s="367">
        <f t="shared" si="25"/>
        <v>41456</v>
      </c>
      <c r="AG1651" s="368">
        <v>41461</v>
      </c>
      <c r="AH1651" s="369">
        <v>1927.4</v>
      </c>
    </row>
    <row r="1652" spans="32:34">
      <c r="AF1652" s="367">
        <f t="shared" si="25"/>
        <v>41456</v>
      </c>
      <c r="AG1652" s="368">
        <v>41462</v>
      </c>
      <c r="AH1652" s="369">
        <v>1927.4</v>
      </c>
    </row>
    <row r="1653" spans="32:34">
      <c r="AF1653" s="367">
        <f t="shared" si="25"/>
        <v>41456</v>
      </c>
      <c r="AG1653" s="368">
        <v>41463</v>
      </c>
      <c r="AH1653" s="369">
        <v>1927.4</v>
      </c>
    </row>
    <row r="1654" spans="32:34">
      <c r="AF1654" s="367">
        <f t="shared" si="25"/>
        <v>41456</v>
      </c>
      <c r="AG1654" s="368">
        <v>41464</v>
      </c>
      <c r="AH1654" s="369">
        <v>1926.84</v>
      </c>
    </row>
    <row r="1655" spans="32:34">
      <c r="AF1655" s="367">
        <f t="shared" si="25"/>
        <v>41456</v>
      </c>
      <c r="AG1655" s="368">
        <v>41465</v>
      </c>
      <c r="AH1655" s="369">
        <v>1920.12</v>
      </c>
    </row>
    <row r="1656" spans="32:34">
      <c r="AF1656" s="367">
        <f t="shared" si="25"/>
        <v>41456</v>
      </c>
      <c r="AG1656" s="368">
        <v>41466</v>
      </c>
      <c r="AH1656" s="369">
        <v>1920.24</v>
      </c>
    </row>
    <row r="1657" spans="32:34">
      <c r="AF1657" s="367">
        <f t="shared" si="25"/>
        <v>41456</v>
      </c>
      <c r="AG1657" s="368">
        <v>41467</v>
      </c>
      <c r="AH1657" s="369">
        <v>1910.79</v>
      </c>
    </row>
    <row r="1658" spans="32:34">
      <c r="AF1658" s="367">
        <f t="shared" si="25"/>
        <v>41456</v>
      </c>
      <c r="AG1658" s="368">
        <v>41468</v>
      </c>
      <c r="AH1658" s="369">
        <v>1905.25</v>
      </c>
    </row>
    <row r="1659" spans="32:34">
      <c r="AF1659" s="367">
        <f t="shared" si="25"/>
        <v>41456</v>
      </c>
      <c r="AG1659" s="368">
        <v>41469</v>
      </c>
      <c r="AH1659" s="369">
        <v>1905.25</v>
      </c>
    </row>
    <row r="1660" spans="32:34">
      <c r="AF1660" s="367">
        <f t="shared" si="25"/>
        <v>41456</v>
      </c>
      <c r="AG1660" s="368">
        <v>41470</v>
      </c>
      <c r="AH1660" s="369">
        <v>1905.25</v>
      </c>
    </row>
    <row r="1661" spans="32:34">
      <c r="AF1661" s="367">
        <f t="shared" si="25"/>
        <v>41456</v>
      </c>
      <c r="AG1661" s="368">
        <v>41471</v>
      </c>
      <c r="AH1661" s="369">
        <v>1893.16</v>
      </c>
    </row>
    <row r="1662" spans="32:34">
      <c r="AF1662" s="367">
        <f t="shared" si="25"/>
        <v>41456</v>
      </c>
      <c r="AG1662" s="368">
        <v>41472</v>
      </c>
      <c r="AH1662" s="369">
        <v>1878.42</v>
      </c>
    </row>
    <row r="1663" spans="32:34">
      <c r="AF1663" s="367">
        <f t="shared" si="25"/>
        <v>41456</v>
      </c>
      <c r="AG1663" s="368">
        <v>41473</v>
      </c>
      <c r="AH1663" s="369">
        <v>1873.25</v>
      </c>
    </row>
    <row r="1664" spans="32:34">
      <c r="AF1664" s="367">
        <f t="shared" si="25"/>
        <v>41456</v>
      </c>
      <c r="AG1664" s="368">
        <v>41474</v>
      </c>
      <c r="AH1664" s="369">
        <v>1883.29</v>
      </c>
    </row>
    <row r="1665" spans="32:34">
      <c r="AF1665" s="367">
        <f t="shared" si="25"/>
        <v>41456</v>
      </c>
      <c r="AG1665" s="368">
        <v>41475</v>
      </c>
      <c r="AH1665" s="369">
        <v>1884.01</v>
      </c>
    </row>
    <row r="1666" spans="32:34">
      <c r="AF1666" s="367">
        <f t="shared" si="25"/>
        <v>41456</v>
      </c>
      <c r="AG1666" s="368">
        <v>41476</v>
      </c>
      <c r="AH1666" s="369">
        <v>1884.01</v>
      </c>
    </row>
    <row r="1667" spans="32:34">
      <c r="AF1667" s="367">
        <f t="shared" si="25"/>
        <v>41456</v>
      </c>
      <c r="AG1667" s="368">
        <v>41477</v>
      </c>
      <c r="AH1667" s="369">
        <v>1884.01</v>
      </c>
    </row>
    <row r="1668" spans="32:34">
      <c r="AF1668" s="367">
        <f t="shared" ref="AF1668:AF1731" si="26">+DATE(YEAR(AG1668),MONTH(AG1668),1)</f>
        <v>41456</v>
      </c>
      <c r="AG1668" s="368">
        <v>41478</v>
      </c>
      <c r="AH1668" s="369">
        <v>1880.87</v>
      </c>
    </row>
    <row r="1669" spans="32:34">
      <c r="AF1669" s="367">
        <f t="shared" si="26"/>
        <v>41456</v>
      </c>
      <c r="AG1669" s="368">
        <v>41479</v>
      </c>
      <c r="AH1669" s="369">
        <v>1886.06</v>
      </c>
    </row>
    <row r="1670" spans="32:34">
      <c r="AF1670" s="367">
        <f t="shared" si="26"/>
        <v>41456</v>
      </c>
      <c r="AG1670" s="368">
        <v>41480</v>
      </c>
      <c r="AH1670" s="369">
        <v>1891.02</v>
      </c>
    </row>
    <row r="1671" spans="32:34">
      <c r="AF1671" s="367">
        <f t="shared" si="26"/>
        <v>41456</v>
      </c>
      <c r="AG1671" s="368">
        <v>41481</v>
      </c>
      <c r="AH1671" s="369">
        <v>1887.4</v>
      </c>
    </row>
    <row r="1672" spans="32:34">
      <c r="AF1672" s="367">
        <f t="shared" si="26"/>
        <v>41456</v>
      </c>
      <c r="AG1672" s="368">
        <v>41482</v>
      </c>
      <c r="AH1672" s="369">
        <v>1886.26</v>
      </c>
    </row>
    <row r="1673" spans="32:34">
      <c r="AF1673" s="367">
        <f t="shared" si="26"/>
        <v>41456</v>
      </c>
      <c r="AG1673" s="368">
        <v>41483</v>
      </c>
      <c r="AH1673" s="369">
        <v>1886.26</v>
      </c>
    </row>
    <row r="1674" spans="32:34">
      <c r="AF1674" s="367">
        <f t="shared" si="26"/>
        <v>41456</v>
      </c>
      <c r="AG1674" s="368">
        <v>41484</v>
      </c>
      <c r="AH1674" s="369">
        <v>1886.26</v>
      </c>
    </row>
    <row r="1675" spans="32:34">
      <c r="AF1675" s="367">
        <f t="shared" si="26"/>
        <v>41456</v>
      </c>
      <c r="AG1675" s="368">
        <v>41485</v>
      </c>
      <c r="AH1675" s="369">
        <v>1888.95</v>
      </c>
    </row>
    <row r="1676" spans="32:34">
      <c r="AF1676" s="367">
        <f t="shared" si="26"/>
        <v>41456</v>
      </c>
      <c r="AG1676" s="368">
        <v>41486</v>
      </c>
      <c r="AH1676" s="369">
        <v>1890.33</v>
      </c>
    </row>
    <row r="1677" spans="32:34">
      <c r="AF1677" s="367">
        <f t="shared" si="26"/>
        <v>41487</v>
      </c>
      <c r="AG1677" s="368">
        <v>41487</v>
      </c>
      <c r="AH1677" s="369">
        <v>1896.15</v>
      </c>
    </row>
    <row r="1678" spans="32:34">
      <c r="AF1678" s="367">
        <f t="shared" si="26"/>
        <v>41487</v>
      </c>
      <c r="AG1678" s="368">
        <v>41488</v>
      </c>
      <c r="AH1678" s="369">
        <v>1896.65</v>
      </c>
    </row>
    <row r="1679" spans="32:34">
      <c r="AF1679" s="367">
        <f t="shared" si="26"/>
        <v>41487</v>
      </c>
      <c r="AG1679" s="368">
        <v>41489</v>
      </c>
      <c r="AH1679" s="369">
        <v>1891.67</v>
      </c>
    </row>
    <row r="1680" spans="32:34">
      <c r="AF1680" s="367">
        <f t="shared" si="26"/>
        <v>41487</v>
      </c>
      <c r="AG1680" s="368">
        <v>41490</v>
      </c>
      <c r="AH1680" s="369">
        <v>1891.67</v>
      </c>
    </row>
    <row r="1681" spans="32:34">
      <c r="AF1681" s="367">
        <f t="shared" si="26"/>
        <v>41487</v>
      </c>
      <c r="AG1681" s="368">
        <v>41491</v>
      </c>
      <c r="AH1681" s="369">
        <v>1891.67</v>
      </c>
    </row>
    <row r="1682" spans="32:34">
      <c r="AF1682" s="367">
        <f t="shared" si="26"/>
        <v>41487</v>
      </c>
      <c r="AG1682" s="368">
        <v>41492</v>
      </c>
      <c r="AH1682" s="369">
        <v>1883.24</v>
      </c>
    </row>
    <row r="1683" spans="32:34">
      <c r="AF1683" s="367">
        <f t="shared" si="26"/>
        <v>41487</v>
      </c>
      <c r="AG1683" s="368">
        <v>41493</v>
      </c>
      <c r="AH1683" s="369">
        <v>1882.01</v>
      </c>
    </row>
    <row r="1684" spans="32:34">
      <c r="AF1684" s="367">
        <f t="shared" si="26"/>
        <v>41487</v>
      </c>
      <c r="AG1684" s="368">
        <v>41494</v>
      </c>
      <c r="AH1684" s="369">
        <v>1882.01</v>
      </c>
    </row>
    <row r="1685" spans="32:34">
      <c r="AF1685" s="367">
        <f t="shared" si="26"/>
        <v>41487</v>
      </c>
      <c r="AG1685" s="368">
        <v>41495</v>
      </c>
      <c r="AH1685" s="369">
        <v>1877.23</v>
      </c>
    </row>
    <row r="1686" spans="32:34">
      <c r="AF1686" s="367">
        <f t="shared" si="26"/>
        <v>41487</v>
      </c>
      <c r="AG1686" s="368">
        <v>41496</v>
      </c>
      <c r="AH1686" s="369">
        <v>1873.92</v>
      </c>
    </row>
    <row r="1687" spans="32:34">
      <c r="AF1687" s="367">
        <f t="shared" si="26"/>
        <v>41487</v>
      </c>
      <c r="AG1687" s="368">
        <v>41497</v>
      </c>
      <c r="AH1687" s="369">
        <v>1873.92</v>
      </c>
    </row>
    <row r="1688" spans="32:34">
      <c r="AF1688" s="367">
        <f t="shared" si="26"/>
        <v>41487</v>
      </c>
      <c r="AG1688" s="368">
        <v>41498</v>
      </c>
      <c r="AH1688" s="369">
        <v>1873.92</v>
      </c>
    </row>
    <row r="1689" spans="32:34">
      <c r="AF1689" s="367">
        <f t="shared" si="26"/>
        <v>41487</v>
      </c>
      <c r="AG1689" s="368">
        <v>41499</v>
      </c>
      <c r="AH1689" s="369">
        <v>1868.9</v>
      </c>
    </row>
    <row r="1690" spans="32:34">
      <c r="AF1690" s="367">
        <f t="shared" si="26"/>
        <v>41487</v>
      </c>
      <c r="AG1690" s="368">
        <v>41500</v>
      </c>
      <c r="AH1690" s="369">
        <v>1882.36</v>
      </c>
    </row>
    <row r="1691" spans="32:34">
      <c r="AF1691" s="367">
        <f t="shared" si="26"/>
        <v>41487</v>
      </c>
      <c r="AG1691" s="368">
        <v>41501</v>
      </c>
      <c r="AH1691" s="369">
        <v>1883.15</v>
      </c>
    </row>
    <row r="1692" spans="32:34">
      <c r="AF1692" s="367">
        <f t="shared" si="26"/>
        <v>41487</v>
      </c>
      <c r="AG1692" s="368">
        <v>41502</v>
      </c>
      <c r="AH1692" s="369">
        <v>1901.03</v>
      </c>
    </row>
    <row r="1693" spans="32:34">
      <c r="AF1693" s="367">
        <f t="shared" si="26"/>
        <v>41487</v>
      </c>
      <c r="AG1693" s="368">
        <v>41503</v>
      </c>
      <c r="AH1693" s="369">
        <v>1907.06</v>
      </c>
    </row>
    <row r="1694" spans="32:34">
      <c r="AF1694" s="367">
        <f t="shared" si="26"/>
        <v>41487</v>
      </c>
      <c r="AG1694" s="368">
        <v>41504</v>
      </c>
      <c r="AH1694" s="369">
        <v>1907.06</v>
      </c>
    </row>
    <row r="1695" spans="32:34">
      <c r="AF1695" s="367">
        <f t="shared" si="26"/>
        <v>41487</v>
      </c>
      <c r="AG1695" s="368">
        <v>41505</v>
      </c>
      <c r="AH1695" s="369">
        <v>1907.06</v>
      </c>
    </row>
    <row r="1696" spans="32:34">
      <c r="AF1696" s="367">
        <f t="shared" si="26"/>
        <v>41487</v>
      </c>
      <c r="AG1696" s="368">
        <v>41506</v>
      </c>
      <c r="AH1696" s="369">
        <v>1907.06</v>
      </c>
    </row>
    <row r="1697" spans="32:34">
      <c r="AF1697" s="367">
        <f t="shared" si="26"/>
        <v>41487</v>
      </c>
      <c r="AG1697" s="368">
        <v>41507</v>
      </c>
      <c r="AH1697" s="369">
        <v>1922.73</v>
      </c>
    </row>
    <row r="1698" spans="32:34">
      <c r="AF1698" s="367">
        <f t="shared" si="26"/>
        <v>41487</v>
      </c>
      <c r="AG1698" s="368">
        <v>41508</v>
      </c>
      <c r="AH1698" s="369">
        <v>1929.75</v>
      </c>
    </row>
    <row r="1699" spans="32:34">
      <c r="AF1699" s="367">
        <f t="shared" si="26"/>
        <v>41487</v>
      </c>
      <c r="AG1699" s="368">
        <v>41509</v>
      </c>
      <c r="AH1699" s="369">
        <v>1921.99</v>
      </c>
    </row>
    <row r="1700" spans="32:34">
      <c r="AF1700" s="367">
        <f t="shared" si="26"/>
        <v>41487</v>
      </c>
      <c r="AG1700" s="368">
        <v>41510</v>
      </c>
      <c r="AH1700" s="369">
        <v>1911.16</v>
      </c>
    </row>
    <row r="1701" spans="32:34">
      <c r="AF1701" s="367">
        <f t="shared" si="26"/>
        <v>41487</v>
      </c>
      <c r="AG1701" s="368">
        <v>41511</v>
      </c>
      <c r="AH1701" s="369">
        <v>1911.16</v>
      </c>
    </row>
    <row r="1702" spans="32:34">
      <c r="AF1702" s="367">
        <f t="shared" si="26"/>
        <v>41487</v>
      </c>
      <c r="AG1702" s="368">
        <v>41512</v>
      </c>
      <c r="AH1702" s="369">
        <v>1911.16</v>
      </c>
    </row>
    <row r="1703" spans="32:34">
      <c r="AF1703" s="367">
        <f t="shared" si="26"/>
        <v>41487</v>
      </c>
      <c r="AG1703" s="368">
        <v>41513</v>
      </c>
      <c r="AH1703" s="369">
        <v>1922.96</v>
      </c>
    </row>
    <row r="1704" spans="32:34">
      <c r="AF1704" s="367">
        <f t="shared" si="26"/>
        <v>41487</v>
      </c>
      <c r="AG1704" s="368">
        <v>41514</v>
      </c>
      <c r="AH1704" s="369">
        <v>1938.26</v>
      </c>
    </row>
    <row r="1705" spans="32:34">
      <c r="AF1705" s="367">
        <f t="shared" si="26"/>
        <v>41487</v>
      </c>
      <c r="AG1705" s="368">
        <v>41515</v>
      </c>
      <c r="AH1705" s="369">
        <v>1939.85</v>
      </c>
    </row>
    <row r="1706" spans="32:34">
      <c r="AF1706" s="367">
        <f t="shared" si="26"/>
        <v>41487</v>
      </c>
      <c r="AG1706" s="368">
        <v>41516</v>
      </c>
      <c r="AH1706" s="369">
        <v>1943.04</v>
      </c>
    </row>
    <row r="1707" spans="32:34">
      <c r="AF1707" s="367">
        <f t="shared" si="26"/>
        <v>41487</v>
      </c>
      <c r="AG1707" s="368">
        <v>41517</v>
      </c>
      <c r="AH1707" s="369">
        <v>1935.43</v>
      </c>
    </row>
    <row r="1708" spans="32:34">
      <c r="AF1708" s="367">
        <f t="shared" si="26"/>
        <v>41518</v>
      </c>
      <c r="AG1708" s="368">
        <v>41518</v>
      </c>
      <c r="AH1708" s="369">
        <v>1935.43</v>
      </c>
    </row>
    <row r="1709" spans="32:34">
      <c r="AF1709" s="367">
        <f t="shared" si="26"/>
        <v>41518</v>
      </c>
      <c r="AG1709" s="368">
        <v>41519</v>
      </c>
      <c r="AH1709" s="369">
        <v>1935.43</v>
      </c>
    </row>
    <row r="1710" spans="32:34">
      <c r="AF1710" s="367">
        <f t="shared" si="26"/>
        <v>41518</v>
      </c>
      <c r="AG1710" s="368">
        <v>41520</v>
      </c>
      <c r="AH1710" s="369">
        <v>1935.43</v>
      </c>
    </row>
    <row r="1711" spans="32:34">
      <c r="AF1711" s="367">
        <f t="shared" si="26"/>
        <v>41518</v>
      </c>
      <c r="AG1711" s="368">
        <v>41521</v>
      </c>
      <c r="AH1711" s="369">
        <v>1946.28</v>
      </c>
    </row>
    <row r="1712" spans="32:34">
      <c r="AF1712" s="367">
        <f t="shared" si="26"/>
        <v>41518</v>
      </c>
      <c r="AG1712" s="368">
        <v>41522</v>
      </c>
      <c r="AH1712" s="369">
        <v>1938.99</v>
      </c>
    </row>
    <row r="1713" spans="32:34">
      <c r="AF1713" s="367">
        <f t="shared" si="26"/>
        <v>41518</v>
      </c>
      <c r="AG1713" s="368">
        <v>41523</v>
      </c>
      <c r="AH1713" s="369">
        <v>1952.11</v>
      </c>
    </row>
    <row r="1714" spans="32:34">
      <c r="AF1714" s="367">
        <f t="shared" si="26"/>
        <v>41518</v>
      </c>
      <c r="AG1714" s="368">
        <v>41524</v>
      </c>
      <c r="AH1714" s="369">
        <v>1947.99</v>
      </c>
    </row>
    <row r="1715" spans="32:34">
      <c r="AF1715" s="367">
        <f t="shared" si="26"/>
        <v>41518</v>
      </c>
      <c r="AG1715" s="368">
        <v>41525</v>
      </c>
      <c r="AH1715" s="369">
        <v>1947.99</v>
      </c>
    </row>
    <row r="1716" spans="32:34">
      <c r="AF1716" s="367">
        <f t="shared" si="26"/>
        <v>41518</v>
      </c>
      <c r="AG1716" s="368">
        <v>41526</v>
      </c>
      <c r="AH1716" s="369">
        <v>1947.99</v>
      </c>
    </row>
    <row r="1717" spans="32:34">
      <c r="AF1717" s="367">
        <f t="shared" si="26"/>
        <v>41518</v>
      </c>
      <c r="AG1717" s="368">
        <v>41527</v>
      </c>
      <c r="AH1717" s="369">
        <v>1946.06</v>
      </c>
    </row>
    <row r="1718" spans="32:34">
      <c r="AF1718" s="367">
        <f t="shared" si="26"/>
        <v>41518</v>
      </c>
      <c r="AG1718" s="368">
        <v>41528</v>
      </c>
      <c r="AH1718" s="369">
        <v>1935.55</v>
      </c>
    </row>
    <row r="1719" spans="32:34">
      <c r="AF1719" s="367">
        <f t="shared" si="26"/>
        <v>41518</v>
      </c>
      <c r="AG1719" s="368">
        <v>41529</v>
      </c>
      <c r="AH1719" s="369">
        <v>1923.64</v>
      </c>
    </row>
    <row r="1720" spans="32:34">
      <c r="AF1720" s="367">
        <f t="shared" si="26"/>
        <v>41518</v>
      </c>
      <c r="AG1720" s="368">
        <v>41530</v>
      </c>
      <c r="AH1720" s="369">
        <v>1919.25</v>
      </c>
    </row>
    <row r="1721" spans="32:34">
      <c r="AF1721" s="367">
        <f t="shared" si="26"/>
        <v>41518</v>
      </c>
      <c r="AG1721" s="368">
        <v>41531</v>
      </c>
      <c r="AH1721" s="369">
        <v>1919.54</v>
      </c>
    </row>
    <row r="1722" spans="32:34">
      <c r="AF1722" s="367">
        <f t="shared" si="26"/>
        <v>41518</v>
      </c>
      <c r="AG1722" s="368">
        <v>41532</v>
      </c>
      <c r="AH1722" s="369">
        <v>1919.54</v>
      </c>
    </row>
    <row r="1723" spans="32:34">
      <c r="AF1723" s="367">
        <f t="shared" si="26"/>
        <v>41518</v>
      </c>
      <c r="AG1723" s="368">
        <v>41533</v>
      </c>
      <c r="AH1723" s="369">
        <v>1919.54</v>
      </c>
    </row>
    <row r="1724" spans="32:34">
      <c r="AF1724" s="367">
        <f t="shared" si="26"/>
        <v>41518</v>
      </c>
      <c r="AG1724" s="368">
        <v>41534</v>
      </c>
      <c r="AH1724" s="369">
        <v>1917.03</v>
      </c>
    </row>
    <row r="1725" spans="32:34">
      <c r="AF1725" s="367">
        <f t="shared" si="26"/>
        <v>41518</v>
      </c>
      <c r="AG1725" s="368">
        <v>41535</v>
      </c>
      <c r="AH1725" s="369">
        <v>1914.12</v>
      </c>
    </row>
    <row r="1726" spans="32:34">
      <c r="AF1726" s="367">
        <f t="shared" si="26"/>
        <v>41518</v>
      </c>
      <c r="AG1726" s="368">
        <v>41536</v>
      </c>
      <c r="AH1726" s="369">
        <v>1911.3</v>
      </c>
    </row>
    <row r="1727" spans="32:34">
      <c r="AF1727" s="367">
        <f t="shared" si="26"/>
        <v>41518</v>
      </c>
      <c r="AG1727" s="368">
        <v>41537</v>
      </c>
      <c r="AH1727" s="369">
        <v>1887.3</v>
      </c>
    </row>
    <row r="1728" spans="32:34">
      <c r="AF1728" s="367">
        <f t="shared" si="26"/>
        <v>41518</v>
      </c>
      <c r="AG1728" s="368">
        <v>41538</v>
      </c>
      <c r="AH1728" s="369">
        <v>1889.12</v>
      </c>
    </row>
    <row r="1729" spans="32:34">
      <c r="AF1729" s="367">
        <f t="shared" si="26"/>
        <v>41518</v>
      </c>
      <c r="AG1729" s="368">
        <v>41539</v>
      </c>
      <c r="AH1729" s="369">
        <v>1889.12</v>
      </c>
    </row>
    <row r="1730" spans="32:34">
      <c r="AF1730" s="367">
        <f t="shared" si="26"/>
        <v>41518</v>
      </c>
      <c r="AG1730" s="368">
        <v>41540</v>
      </c>
      <c r="AH1730" s="369">
        <v>1889.12</v>
      </c>
    </row>
    <row r="1731" spans="32:34">
      <c r="AF1731" s="367">
        <f t="shared" si="26"/>
        <v>41518</v>
      </c>
      <c r="AG1731" s="368">
        <v>41541</v>
      </c>
      <c r="AH1731" s="369">
        <v>1892.89</v>
      </c>
    </row>
    <row r="1732" spans="32:34">
      <c r="AF1732" s="367">
        <f t="shared" ref="AF1732:AF1795" si="27">+DATE(YEAR(AG1732),MONTH(AG1732),1)</f>
        <v>41518</v>
      </c>
      <c r="AG1732" s="368">
        <v>41542</v>
      </c>
      <c r="AH1732" s="369">
        <v>1888.14</v>
      </c>
    </row>
    <row r="1733" spans="32:34">
      <c r="AF1733" s="367">
        <f t="shared" si="27"/>
        <v>41518</v>
      </c>
      <c r="AG1733" s="368">
        <v>41543</v>
      </c>
      <c r="AH1733" s="369">
        <v>1893.42</v>
      </c>
    </row>
    <row r="1734" spans="32:34">
      <c r="AF1734" s="367">
        <f t="shared" si="27"/>
        <v>41518</v>
      </c>
      <c r="AG1734" s="368">
        <v>41544</v>
      </c>
      <c r="AH1734" s="369">
        <v>1899.1</v>
      </c>
    </row>
    <row r="1735" spans="32:34">
      <c r="AF1735" s="367">
        <f t="shared" si="27"/>
        <v>41518</v>
      </c>
      <c r="AG1735" s="368">
        <v>41545</v>
      </c>
      <c r="AH1735" s="369">
        <v>1914.65</v>
      </c>
    </row>
    <row r="1736" spans="32:34">
      <c r="AF1736" s="367">
        <f t="shared" si="27"/>
        <v>41518</v>
      </c>
      <c r="AG1736" s="368">
        <v>41546</v>
      </c>
      <c r="AH1736" s="369">
        <v>1914.65</v>
      </c>
    </row>
    <row r="1737" spans="32:34">
      <c r="AF1737" s="367">
        <f t="shared" si="27"/>
        <v>41518</v>
      </c>
      <c r="AG1737" s="368">
        <v>41547</v>
      </c>
      <c r="AH1737" s="369">
        <v>1914.65</v>
      </c>
    </row>
    <row r="1738" spans="32:34">
      <c r="AF1738" s="367">
        <f t="shared" si="27"/>
        <v>41548</v>
      </c>
      <c r="AG1738" s="368">
        <v>41548</v>
      </c>
      <c r="AH1738" s="369">
        <v>1908.29</v>
      </c>
    </row>
    <row r="1739" spans="32:34">
      <c r="AF1739" s="367">
        <f t="shared" si="27"/>
        <v>41548</v>
      </c>
      <c r="AG1739" s="368">
        <v>41549</v>
      </c>
      <c r="AH1739" s="369">
        <v>1893.77</v>
      </c>
    </row>
    <row r="1740" spans="32:34">
      <c r="AF1740" s="367">
        <f t="shared" si="27"/>
        <v>41548</v>
      </c>
      <c r="AG1740" s="368">
        <v>41550</v>
      </c>
      <c r="AH1740" s="369">
        <v>1884.97</v>
      </c>
    </row>
    <row r="1741" spans="32:34">
      <c r="AF1741" s="367">
        <f t="shared" si="27"/>
        <v>41548</v>
      </c>
      <c r="AG1741" s="368">
        <v>41551</v>
      </c>
      <c r="AH1741" s="369">
        <v>1889.95</v>
      </c>
    </row>
    <row r="1742" spans="32:34">
      <c r="AF1742" s="367">
        <f t="shared" si="27"/>
        <v>41548</v>
      </c>
      <c r="AG1742" s="368">
        <v>41552</v>
      </c>
      <c r="AH1742" s="369">
        <v>1886.78</v>
      </c>
    </row>
    <row r="1743" spans="32:34">
      <c r="AF1743" s="367">
        <f t="shared" si="27"/>
        <v>41548</v>
      </c>
      <c r="AG1743" s="368">
        <v>41553</v>
      </c>
      <c r="AH1743" s="369">
        <v>1886.78</v>
      </c>
    </row>
    <row r="1744" spans="32:34">
      <c r="AF1744" s="367">
        <f t="shared" si="27"/>
        <v>41548</v>
      </c>
      <c r="AG1744" s="368">
        <v>41554</v>
      </c>
      <c r="AH1744" s="369">
        <v>1886.78</v>
      </c>
    </row>
    <row r="1745" spans="32:34">
      <c r="AF1745" s="367">
        <f t="shared" si="27"/>
        <v>41548</v>
      </c>
      <c r="AG1745" s="368">
        <v>41555</v>
      </c>
      <c r="AH1745" s="369">
        <v>1885.19</v>
      </c>
    </row>
    <row r="1746" spans="32:34">
      <c r="AF1746" s="367">
        <f t="shared" si="27"/>
        <v>41548</v>
      </c>
      <c r="AG1746" s="368">
        <v>41556</v>
      </c>
      <c r="AH1746" s="369">
        <v>1889.17</v>
      </c>
    </row>
    <row r="1747" spans="32:34">
      <c r="AF1747" s="367">
        <f t="shared" si="27"/>
        <v>41548</v>
      </c>
      <c r="AG1747" s="368">
        <v>41557</v>
      </c>
      <c r="AH1747" s="369">
        <v>1894.06</v>
      </c>
    </row>
    <row r="1748" spans="32:34">
      <c r="AF1748" s="367">
        <f t="shared" si="27"/>
        <v>41548</v>
      </c>
      <c r="AG1748" s="368">
        <v>41558</v>
      </c>
      <c r="AH1748" s="369">
        <v>1885.84</v>
      </c>
    </row>
    <row r="1749" spans="32:34">
      <c r="AF1749" s="367">
        <f t="shared" si="27"/>
        <v>41548</v>
      </c>
      <c r="AG1749" s="368">
        <v>41559</v>
      </c>
      <c r="AH1749" s="369">
        <v>1883.65</v>
      </c>
    </row>
    <row r="1750" spans="32:34">
      <c r="AF1750" s="367">
        <f t="shared" si="27"/>
        <v>41548</v>
      </c>
      <c r="AG1750" s="368">
        <v>41560</v>
      </c>
      <c r="AH1750" s="369">
        <v>1883.65</v>
      </c>
    </row>
    <row r="1751" spans="32:34">
      <c r="AF1751" s="367">
        <f t="shared" si="27"/>
        <v>41548</v>
      </c>
      <c r="AG1751" s="368">
        <v>41561</v>
      </c>
      <c r="AH1751" s="369">
        <v>1883.65</v>
      </c>
    </row>
    <row r="1752" spans="32:34">
      <c r="AF1752" s="367">
        <f t="shared" si="27"/>
        <v>41548</v>
      </c>
      <c r="AG1752" s="368">
        <v>41562</v>
      </c>
      <c r="AH1752" s="369">
        <v>1883.65</v>
      </c>
    </row>
    <row r="1753" spans="32:34">
      <c r="AF1753" s="367">
        <f t="shared" si="27"/>
        <v>41548</v>
      </c>
      <c r="AG1753" s="368">
        <v>41563</v>
      </c>
      <c r="AH1753" s="369">
        <v>1883.7</v>
      </c>
    </row>
    <row r="1754" spans="32:34">
      <c r="AF1754" s="367">
        <f t="shared" si="27"/>
        <v>41548</v>
      </c>
      <c r="AG1754" s="368">
        <v>41564</v>
      </c>
      <c r="AH1754" s="369">
        <v>1880.91</v>
      </c>
    </row>
    <row r="1755" spans="32:34">
      <c r="AF1755" s="367">
        <f t="shared" si="27"/>
        <v>41548</v>
      </c>
      <c r="AG1755" s="368">
        <v>41565</v>
      </c>
      <c r="AH1755" s="369">
        <v>1879.48</v>
      </c>
    </row>
    <row r="1756" spans="32:34">
      <c r="AF1756" s="367">
        <f t="shared" si="27"/>
        <v>41548</v>
      </c>
      <c r="AG1756" s="368">
        <v>41566</v>
      </c>
      <c r="AH1756" s="369">
        <v>1879.88</v>
      </c>
    </row>
    <row r="1757" spans="32:34">
      <c r="AF1757" s="367">
        <f t="shared" si="27"/>
        <v>41548</v>
      </c>
      <c r="AG1757" s="368">
        <v>41567</v>
      </c>
      <c r="AH1757" s="369">
        <v>1879.88</v>
      </c>
    </row>
    <row r="1758" spans="32:34">
      <c r="AF1758" s="367">
        <f t="shared" si="27"/>
        <v>41548</v>
      </c>
      <c r="AG1758" s="368">
        <v>41568</v>
      </c>
      <c r="AH1758" s="369">
        <v>1879.88</v>
      </c>
    </row>
    <row r="1759" spans="32:34">
      <c r="AF1759" s="367">
        <f t="shared" si="27"/>
        <v>41548</v>
      </c>
      <c r="AG1759" s="368">
        <v>41569</v>
      </c>
      <c r="AH1759" s="369">
        <v>1885.52</v>
      </c>
    </row>
    <row r="1760" spans="32:34">
      <c r="AF1760" s="367">
        <f t="shared" si="27"/>
        <v>41548</v>
      </c>
      <c r="AG1760" s="368">
        <v>41570</v>
      </c>
      <c r="AH1760" s="369">
        <v>1879.46</v>
      </c>
    </row>
    <row r="1761" spans="32:34">
      <c r="AF1761" s="367">
        <f t="shared" si="27"/>
        <v>41548</v>
      </c>
      <c r="AG1761" s="368">
        <v>41571</v>
      </c>
      <c r="AH1761" s="369">
        <v>1883.14</v>
      </c>
    </row>
    <row r="1762" spans="32:34">
      <c r="AF1762" s="367">
        <f t="shared" si="27"/>
        <v>41548</v>
      </c>
      <c r="AG1762" s="368">
        <v>41572</v>
      </c>
      <c r="AH1762" s="369">
        <v>1882.11</v>
      </c>
    </row>
    <row r="1763" spans="32:34">
      <c r="AF1763" s="367">
        <f t="shared" si="27"/>
        <v>41548</v>
      </c>
      <c r="AG1763" s="368">
        <v>41573</v>
      </c>
      <c r="AH1763" s="369">
        <v>1882.34</v>
      </c>
    </row>
    <row r="1764" spans="32:34">
      <c r="AF1764" s="367">
        <f t="shared" si="27"/>
        <v>41548</v>
      </c>
      <c r="AG1764" s="368">
        <v>41574</v>
      </c>
      <c r="AH1764" s="369">
        <v>1882.34</v>
      </c>
    </row>
    <row r="1765" spans="32:34">
      <c r="AF1765" s="367">
        <f t="shared" si="27"/>
        <v>41548</v>
      </c>
      <c r="AG1765" s="368">
        <v>41575</v>
      </c>
      <c r="AH1765" s="369">
        <v>1882.34</v>
      </c>
    </row>
    <row r="1766" spans="32:34">
      <c r="AF1766" s="367">
        <f t="shared" si="27"/>
        <v>41548</v>
      </c>
      <c r="AG1766" s="368">
        <v>41576</v>
      </c>
      <c r="AH1766" s="369">
        <v>1884.43</v>
      </c>
    </row>
    <row r="1767" spans="32:34">
      <c r="AF1767" s="367">
        <f t="shared" si="27"/>
        <v>41548</v>
      </c>
      <c r="AG1767" s="368">
        <v>41577</v>
      </c>
      <c r="AH1767" s="369">
        <v>1883.42</v>
      </c>
    </row>
    <row r="1768" spans="32:34">
      <c r="AF1768" s="367">
        <f t="shared" si="27"/>
        <v>41548</v>
      </c>
      <c r="AG1768" s="368">
        <v>41578</v>
      </c>
      <c r="AH1768" s="369">
        <v>1884.06</v>
      </c>
    </row>
    <row r="1769" spans="32:34">
      <c r="AF1769" s="367">
        <f t="shared" si="27"/>
        <v>41579</v>
      </c>
      <c r="AG1769" s="368">
        <v>41579</v>
      </c>
      <c r="AH1769" s="369">
        <v>1889.16</v>
      </c>
    </row>
    <row r="1770" spans="32:34">
      <c r="AF1770" s="367">
        <f t="shared" si="27"/>
        <v>41579</v>
      </c>
      <c r="AG1770" s="368">
        <v>41580</v>
      </c>
      <c r="AH1770" s="369">
        <v>1901.22</v>
      </c>
    </row>
    <row r="1771" spans="32:34">
      <c r="AF1771" s="367">
        <f t="shared" si="27"/>
        <v>41579</v>
      </c>
      <c r="AG1771" s="368">
        <v>41581</v>
      </c>
      <c r="AH1771" s="369">
        <v>1901.22</v>
      </c>
    </row>
    <row r="1772" spans="32:34">
      <c r="AF1772" s="367">
        <f t="shared" si="27"/>
        <v>41579</v>
      </c>
      <c r="AG1772" s="368">
        <v>41582</v>
      </c>
      <c r="AH1772" s="369">
        <v>1901.22</v>
      </c>
    </row>
    <row r="1773" spans="32:34">
      <c r="AF1773" s="367">
        <f t="shared" si="27"/>
        <v>41579</v>
      </c>
      <c r="AG1773" s="368">
        <v>41583</v>
      </c>
      <c r="AH1773" s="369">
        <v>1901.22</v>
      </c>
    </row>
    <row r="1774" spans="32:34">
      <c r="AF1774" s="367">
        <f t="shared" si="27"/>
        <v>41579</v>
      </c>
      <c r="AG1774" s="368">
        <v>41584</v>
      </c>
      <c r="AH1774" s="369">
        <v>1916.22</v>
      </c>
    </row>
    <row r="1775" spans="32:34">
      <c r="AF1775" s="367">
        <f t="shared" si="27"/>
        <v>41579</v>
      </c>
      <c r="AG1775" s="368">
        <v>41585</v>
      </c>
      <c r="AH1775" s="369">
        <v>1916.8</v>
      </c>
    </row>
    <row r="1776" spans="32:34">
      <c r="AF1776" s="367">
        <f t="shared" si="27"/>
        <v>41579</v>
      </c>
      <c r="AG1776" s="368">
        <v>41586</v>
      </c>
      <c r="AH1776" s="369">
        <v>1924.87</v>
      </c>
    </row>
    <row r="1777" spans="32:34">
      <c r="AF1777" s="367">
        <f t="shared" si="27"/>
        <v>41579</v>
      </c>
      <c r="AG1777" s="368">
        <v>41587</v>
      </c>
      <c r="AH1777" s="369">
        <v>1932.77</v>
      </c>
    </row>
    <row r="1778" spans="32:34">
      <c r="AF1778" s="367">
        <f t="shared" si="27"/>
        <v>41579</v>
      </c>
      <c r="AG1778" s="368">
        <v>41588</v>
      </c>
      <c r="AH1778" s="369">
        <v>1932.77</v>
      </c>
    </row>
    <row r="1779" spans="32:34">
      <c r="AF1779" s="367">
        <f t="shared" si="27"/>
        <v>41579</v>
      </c>
      <c r="AG1779" s="368">
        <v>41589</v>
      </c>
      <c r="AH1779" s="369">
        <v>1932.77</v>
      </c>
    </row>
    <row r="1780" spans="32:34">
      <c r="AF1780" s="367">
        <f t="shared" si="27"/>
        <v>41579</v>
      </c>
      <c r="AG1780" s="368">
        <v>41590</v>
      </c>
      <c r="AH1780" s="369">
        <v>1932.77</v>
      </c>
    </row>
    <row r="1781" spans="32:34">
      <c r="AF1781" s="367">
        <f t="shared" si="27"/>
        <v>41579</v>
      </c>
      <c r="AG1781" s="368">
        <v>41591</v>
      </c>
      <c r="AH1781" s="369">
        <v>1928.96</v>
      </c>
    </row>
    <row r="1782" spans="32:34">
      <c r="AF1782" s="367">
        <f t="shared" si="27"/>
        <v>41579</v>
      </c>
      <c r="AG1782" s="368">
        <v>41592</v>
      </c>
      <c r="AH1782" s="369">
        <v>1932.03</v>
      </c>
    </row>
    <row r="1783" spans="32:34">
      <c r="AF1783" s="367">
        <f t="shared" si="27"/>
        <v>41579</v>
      </c>
      <c r="AG1783" s="368">
        <v>41593</v>
      </c>
      <c r="AH1783" s="369">
        <v>1929.24</v>
      </c>
    </row>
    <row r="1784" spans="32:34">
      <c r="AF1784" s="367">
        <f t="shared" si="27"/>
        <v>41579</v>
      </c>
      <c r="AG1784" s="368">
        <v>41594</v>
      </c>
      <c r="AH1784" s="369">
        <v>1919.89</v>
      </c>
    </row>
    <row r="1785" spans="32:34">
      <c r="AF1785" s="367">
        <f t="shared" si="27"/>
        <v>41579</v>
      </c>
      <c r="AG1785" s="368">
        <v>41595</v>
      </c>
      <c r="AH1785" s="369">
        <v>1919.89</v>
      </c>
    </row>
    <row r="1786" spans="32:34">
      <c r="AF1786" s="367">
        <f t="shared" si="27"/>
        <v>41579</v>
      </c>
      <c r="AG1786" s="368">
        <v>41596</v>
      </c>
      <c r="AH1786" s="369">
        <v>1919.89</v>
      </c>
    </row>
    <row r="1787" spans="32:34">
      <c r="AF1787" s="367">
        <f t="shared" si="27"/>
        <v>41579</v>
      </c>
      <c r="AG1787" s="368">
        <v>41597</v>
      </c>
      <c r="AH1787" s="369">
        <v>1915.37</v>
      </c>
    </row>
    <row r="1788" spans="32:34">
      <c r="AF1788" s="367">
        <f t="shared" si="27"/>
        <v>41579</v>
      </c>
      <c r="AG1788" s="368">
        <v>41598</v>
      </c>
      <c r="AH1788" s="369">
        <v>1919.2</v>
      </c>
    </row>
    <row r="1789" spans="32:34">
      <c r="AF1789" s="367">
        <f t="shared" si="27"/>
        <v>41579</v>
      </c>
      <c r="AG1789" s="368">
        <v>41599</v>
      </c>
      <c r="AH1789" s="369">
        <v>1923.19</v>
      </c>
    </row>
    <row r="1790" spans="32:34">
      <c r="AF1790" s="367">
        <f t="shared" si="27"/>
        <v>41579</v>
      </c>
      <c r="AG1790" s="368">
        <v>41600</v>
      </c>
      <c r="AH1790" s="369">
        <v>1932.42</v>
      </c>
    </row>
    <row r="1791" spans="32:34">
      <c r="AF1791" s="367">
        <f t="shared" si="27"/>
        <v>41579</v>
      </c>
      <c r="AG1791" s="368">
        <v>41601</v>
      </c>
      <c r="AH1791" s="369">
        <v>1929.13</v>
      </c>
    </row>
    <row r="1792" spans="32:34">
      <c r="AF1792" s="367">
        <f t="shared" si="27"/>
        <v>41579</v>
      </c>
      <c r="AG1792" s="368">
        <v>41602</v>
      </c>
      <c r="AH1792" s="369">
        <v>1929.13</v>
      </c>
    </row>
    <row r="1793" spans="32:34">
      <c r="AF1793" s="367">
        <f t="shared" si="27"/>
        <v>41579</v>
      </c>
      <c r="AG1793" s="368">
        <v>41603</v>
      </c>
      <c r="AH1793" s="369">
        <v>1929.13</v>
      </c>
    </row>
    <row r="1794" spans="32:34">
      <c r="AF1794" s="367">
        <f t="shared" si="27"/>
        <v>41579</v>
      </c>
      <c r="AG1794" s="368">
        <v>41604</v>
      </c>
      <c r="AH1794" s="369">
        <v>1926.99</v>
      </c>
    </row>
    <row r="1795" spans="32:34">
      <c r="AF1795" s="367">
        <f t="shared" si="27"/>
        <v>41579</v>
      </c>
      <c r="AG1795" s="368">
        <v>41605</v>
      </c>
      <c r="AH1795" s="369">
        <v>1926.74</v>
      </c>
    </row>
    <row r="1796" spans="32:34">
      <c r="AF1796" s="367">
        <f t="shared" ref="AF1796:AF1859" si="28">+DATE(YEAR(AG1796),MONTH(AG1796),1)</f>
        <v>41579</v>
      </c>
      <c r="AG1796" s="368">
        <v>41606</v>
      </c>
      <c r="AH1796" s="369">
        <v>1928.25</v>
      </c>
    </row>
    <row r="1797" spans="32:34">
      <c r="AF1797" s="367">
        <f t="shared" si="28"/>
        <v>41579</v>
      </c>
      <c r="AG1797" s="368">
        <v>41607</v>
      </c>
      <c r="AH1797" s="369">
        <v>1928.25</v>
      </c>
    </row>
    <row r="1798" spans="32:34">
      <c r="AF1798" s="367">
        <f t="shared" si="28"/>
        <v>41579</v>
      </c>
      <c r="AG1798" s="368">
        <v>41608</v>
      </c>
      <c r="AH1798" s="369">
        <v>1931.88</v>
      </c>
    </row>
    <row r="1799" spans="32:34">
      <c r="AF1799" s="367">
        <f t="shared" si="28"/>
        <v>41609</v>
      </c>
      <c r="AG1799" s="368">
        <v>41609</v>
      </c>
      <c r="AH1799" s="369">
        <v>1931.88</v>
      </c>
    </row>
    <row r="1800" spans="32:34">
      <c r="AF1800" s="367">
        <f t="shared" si="28"/>
        <v>41609</v>
      </c>
      <c r="AG1800" s="368">
        <v>41610</v>
      </c>
      <c r="AH1800" s="369">
        <v>1931.88</v>
      </c>
    </row>
    <row r="1801" spans="32:34">
      <c r="AF1801" s="367">
        <f t="shared" si="28"/>
        <v>41609</v>
      </c>
      <c r="AG1801" s="368">
        <v>41611</v>
      </c>
      <c r="AH1801" s="369">
        <v>1934.16</v>
      </c>
    </row>
    <row r="1802" spans="32:34">
      <c r="AF1802" s="367">
        <f t="shared" si="28"/>
        <v>41609</v>
      </c>
      <c r="AG1802" s="368">
        <v>41612</v>
      </c>
      <c r="AH1802" s="369">
        <v>1941.01</v>
      </c>
    </row>
    <row r="1803" spans="32:34">
      <c r="AF1803" s="367">
        <f t="shared" si="28"/>
        <v>41609</v>
      </c>
      <c r="AG1803" s="368">
        <v>41613</v>
      </c>
      <c r="AH1803" s="369">
        <v>1948.48</v>
      </c>
    </row>
    <row r="1804" spans="32:34">
      <c r="AF1804" s="367">
        <f t="shared" si="28"/>
        <v>41609</v>
      </c>
      <c r="AG1804" s="368">
        <v>41614</v>
      </c>
      <c r="AH1804" s="369">
        <v>1940.26</v>
      </c>
    </row>
    <row r="1805" spans="32:34">
      <c r="AF1805" s="367">
        <f t="shared" si="28"/>
        <v>41609</v>
      </c>
      <c r="AG1805" s="368">
        <v>41615</v>
      </c>
      <c r="AH1805" s="369">
        <v>1936.33</v>
      </c>
    </row>
    <row r="1806" spans="32:34">
      <c r="AF1806" s="367">
        <f t="shared" si="28"/>
        <v>41609</v>
      </c>
      <c r="AG1806" s="368">
        <v>41616</v>
      </c>
      <c r="AH1806" s="369">
        <v>1936.33</v>
      </c>
    </row>
    <row r="1807" spans="32:34">
      <c r="AF1807" s="367">
        <f t="shared" si="28"/>
        <v>41609</v>
      </c>
      <c r="AG1807" s="368">
        <v>41617</v>
      </c>
      <c r="AH1807" s="369">
        <v>1936.33</v>
      </c>
    </row>
    <row r="1808" spans="32:34">
      <c r="AF1808" s="367">
        <f t="shared" si="28"/>
        <v>41609</v>
      </c>
      <c r="AG1808" s="368">
        <v>41618</v>
      </c>
      <c r="AH1808" s="369">
        <v>1932.71</v>
      </c>
    </row>
    <row r="1809" spans="32:34">
      <c r="AF1809" s="367">
        <f t="shared" si="28"/>
        <v>41609</v>
      </c>
      <c r="AG1809" s="368">
        <v>41619</v>
      </c>
      <c r="AH1809" s="369">
        <v>1933.52</v>
      </c>
    </row>
    <row r="1810" spans="32:34">
      <c r="AF1810" s="367">
        <f t="shared" si="28"/>
        <v>41609</v>
      </c>
      <c r="AG1810" s="368">
        <v>41620</v>
      </c>
      <c r="AH1810" s="369">
        <v>1935.61</v>
      </c>
    </row>
    <row r="1811" spans="32:34">
      <c r="AF1811" s="367">
        <f t="shared" si="28"/>
        <v>41609</v>
      </c>
      <c r="AG1811" s="368">
        <v>41621</v>
      </c>
      <c r="AH1811" s="369">
        <v>1935.89</v>
      </c>
    </row>
    <row r="1812" spans="32:34">
      <c r="AF1812" s="367">
        <f t="shared" si="28"/>
        <v>41609</v>
      </c>
      <c r="AG1812" s="368">
        <v>41622</v>
      </c>
      <c r="AH1812" s="369">
        <v>1930.87</v>
      </c>
    </row>
    <row r="1813" spans="32:34">
      <c r="AF1813" s="367">
        <f t="shared" si="28"/>
        <v>41609</v>
      </c>
      <c r="AG1813" s="368">
        <v>41623</v>
      </c>
      <c r="AH1813" s="369">
        <v>1930.87</v>
      </c>
    </row>
    <row r="1814" spans="32:34">
      <c r="AF1814" s="367">
        <f t="shared" si="28"/>
        <v>41609</v>
      </c>
      <c r="AG1814" s="368">
        <v>41624</v>
      </c>
      <c r="AH1814" s="369">
        <v>1930.87</v>
      </c>
    </row>
    <row r="1815" spans="32:34">
      <c r="AF1815" s="367">
        <f t="shared" si="28"/>
        <v>41609</v>
      </c>
      <c r="AG1815" s="368">
        <v>41625</v>
      </c>
      <c r="AH1815" s="369">
        <v>1934.95</v>
      </c>
    </row>
    <row r="1816" spans="32:34">
      <c r="AF1816" s="367">
        <f t="shared" si="28"/>
        <v>41609</v>
      </c>
      <c r="AG1816" s="368">
        <v>41626</v>
      </c>
      <c r="AH1816" s="369">
        <v>1936.14</v>
      </c>
    </row>
    <row r="1817" spans="32:34">
      <c r="AF1817" s="367">
        <f t="shared" si="28"/>
        <v>41609</v>
      </c>
      <c r="AG1817" s="368">
        <v>41627</v>
      </c>
      <c r="AH1817" s="369">
        <v>1945.6</v>
      </c>
    </row>
    <row r="1818" spans="32:34">
      <c r="AF1818" s="367">
        <f t="shared" si="28"/>
        <v>41609</v>
      </c>
      <c r="AG1818" s="368">
        <v>41628</v>
      </c>
      <c r="AH1818" s="369">
        <v>1943.46</v>
      </c>
    </row>
    <row r="1819" spans="32:34">
      <c r="AF1819" s="367">
        <f t="shared" si="28"/>
        <v>41609</v>
      </c>
      <c r="AG1819" s="368">
        <v>41629</v>
      </c>
      <c r="AH1819" s="369">
        <v>1935.93</v>
      </c>
    </row>
    <row r="1820" spans="32:34">
      <c r="AF1820" s="367">
        <f t="shared" si="28"/>
        <v>41609</v>
      </c>
      <c r="AG1820" s="368">
        <v>41630</v>
      </c>
      <c r="AH1820" s="369">
        <v>1935.93</v>
      </c>
    </row>
    <row r="1821" spans="32:34">
      <c r="AF1821" s="367">
        <f t="shared" si="28"/>
        <v>41609</v>
      </c>
      <c r="AG1821" s="368">
        <v>41631</v>
      </c>
      <c r="AH1821" s="369">
        <v>1935.93</v>
      </c>
    </row>
    <row r="1822" spans="32:34">
      <c r="AF1822" s="367">
        <f t="shared" si="28"/>
        <v>41609</v>
      </c>
      <c r="AG1822" s="368">
        <v>41632</v>
      </c>
      <c r="AH1822" s="369">
        <v>1925.45</v>
      </c>
    </row>
    <row r="1823" spans="32:34">
      <c r="AF1823" s="367">
        <f t="shared" si="28"/>
        <v>41609</v>
      </c>
      <c r="AG1823" s="368">
        <v>41633</v>
      </c>
      <c r="AH1823" s="369">
        <v>1922.76</v>
      </c>
    </row>
    <row r="1824" spans="32:34">
      <c r="AF1824" s="367">
        <f t="shared" si="28"/>
        <v>41609</v>
      </c>
      <c r="AG1824" s="368">
        <v>41634</v>
      </c>
      <c r="AH1824" s="369">
        <v>1922.76</v>
      </c>
    </row>
    <row r="1825" spans="32:34">
      <c r="AF1825" s="367">
        <f t="shared" si="28"/>
        <v>41609</v>
      </c>
      <c r="AG1825" s="368">
        <v>41635</v>
      </c>
      <c r="AH1825" s="369">
        <v>1921.22</v>
      </c>
    </row>
    <row r="1826" spans="32:34">
      <c r="AF1826" s="367">
        <f t="shared" si="28"/>
        <v>41609</v>
      </c>
      <c r="AG1826" s="368">
        <v>41636</v>
      </c>
      <c r="AH1826" s="369">
        <v>1922.56</v>
      </c>
    </row>
    <row r="1827" spans="32:34">
      <c r="AF1827" s="367">
        <f t="shared" si="28"/>
        <v>41609</v>
      </c>
      <c r="AG1827" s="368">
        <v>41637</v>
      </c>
      <c r="AH1827" s="369">
        <v>1922.56</v>
      </c>
    </row>
    <row r="1828" spans="32:34">
      <c r="AF1828" s="367">
        <f t="shared" si="28"/>
        <v>41609</v>
      </c>
      <c r="AG1828" s="368">
        <v>41638</v>
      </c>
      <c r="AH1828" s="369">
        <v>1922.56</v>
      </c>
    </row>
    <row r="1829" spans="32:34">
      <c r="AF1829" s="367">
        <f t="shared" si="28"/>
        <v>41609</v>
      </c>
      <c r="AG1829" s="368">
        <v>41639</v>
      </c>
      <c r="AH1829" s="369">
        <v>1926.83</v>
      </c>
    </row>
    <row r="1830" spans="32:34">
      <c r="AF1830" s="367">
        <f t="shared" si="28"/>
        <v>41640</v>
      </c>
      <c r="AG1830" s="368">
        <v>41640</v>
      </c>
      <c r="AH1830" s="369">
        <v>1926.83</v>
      </c>
    </row>
    <row r="1831" spans="32:34">
      <c r="AF1831" s="367">
        <f t="shared" si="28"/>
        <v>41640</v>
      </c>
      <c r="AG1831" s="368">
        <v>41641</v>
      </c>
      <c r="AH1831" s="369">
        <v>1926.83</v>
      </c>
    </row>
    <row r="1832" spans="32:34">
      <c r="AF1832" s="367">
        <f t="shared" si="28"/>
        <v>41640</v>
      </c>
      <c r="AG1832" s="368">
        <v>41642</v>
      </c>
      <c r="AH1832" s="369">
        <v>1938.89</v>
      </c>
    </row>
    <row r="1833" spans="32:34">
      <c r="AF1833" s="367">
        <f t="shared" si="28"/>
        <v>41640</v>
      </c>
      <c r="AG1833" s="368">
        <v>41643</v>
      </c>
      <c r="AH1833" s="369">
        <v>1936.92</v>
      </c>
    </row>
    <row r="1834" spans="32:34">
      <c r="AF1834" s="367">
        <f t="shared" si="28"/>
        <v>41640</v>
      </c>
      <c r="AG1834" s="368">
        <v>41644</v>
      </c>
      <c r="AH1834" s="369">
        <v>1936.92</v>
      </c>
    </row>
    <row r="1835" spans="32:34">
      <c r="AF1835" s="367">
        <f t="shared" si="28"/>
        <v>41640</v>
      </c>
      <c r="AG1835" s="368">
        <v>41645</v>
      </c>
      <c r="AH1835" s="369">
        <v>1936.92</v>
      </c>
    </row>
    <row r="1836" spans="32:34">
      <c r="AF1836" s="367">
        <f t="shared" si="28"/>
        <v>41640</v>
      </c>
      <c r="AG1836" s="368">
        <v>41646</v>
      </c>
      <c r="AH1836" s="369">
        <v>1936.92</v>
      </c>
    </row>
    <row r="1837" spans="32:34">
      <c r="AF1837" s="367">
        <f t="shared" si="28"/>
        <v>41640</v>
      </c>
      <c r="AG1837" s="368">
        <v>41647</v>
      </c>
      <c r="AH1837" s="369">
        <v>1930.45</v>
      </c>
    </row>
    <row r="1838" spans="32:34">
      <c r="AF1838" s="367">
        <f t="shared" si="28"/>
        <v>41640</v>
      </c>
      <c r="AG1838" s="368">
        <v>41648</v>
      </c>
      <c r="AH1838" s="369">
        <v>1933.24</v>
      </c>
    </row>
    <row r="1839" spans="32:34">
      <c r="AF1839" s="367">
        <f t="shared" si="28"/>
        <v>41640</v>
      </c>
      <c r="AG1839" s="368">
        <v>41649</v>
      </c>
      <c r="AH1839" s="369">
        <v>1934.88</v>
      </c>
    </row>
    <row r="1840" spans="32:34">
      <c r="AF1840" s="367">
        <f t="shared" si="28"/>
        <v>41640</v>
      </c>
      <c r="AG1840" s="368">
        <v>41650</v>
      </c>
      <c r="AH1840" s="369">
        <v>1926.55</v>
      </c>
    </row>
    <row r="1841" spans="32:34">
      <c r="AF1841" s="367">
        <f t="shared" si="28"/>
        <v>41640</v>
      </c>
      <c r="AG1841" s="368">
        <v>41651</v>
      </c>
      <c r="AH1841" s="369">
        <v>1926.55</v>
      </c>
    </row>
    <row r="1842" spans="32:34">
      <c r="AF1842" s="367">
        <f t="shared" si="28"/>
        <v>41640</v>
      </c>
      <c r="AG1842" s="368">
        <v>41652</v>
      </c>
      <c r="AH1842" s="369">
        <v>1926.55</v>
      </c>
    </row>
    <row r="1843" spans="32:34">
      <c r="AF1843" s="367">
        <f t="shared" si="28"/>
        <v>41640</v>
      </c>
      <c r="AG1843" s="368">
        <v>41653</v>
      </c>
      <c r="AH1843" s="369">
        <v>1924.79</v>
      </c>
    </row>
    <row r="1844" spans="32:34">
      <c r="AF1844" s="367">
        <f t="shared" si="28"/>
        <v>41640</v>
      </c>
      <c r="AG1844" s="368">
        <v>41654</v>
      </c>
      <c r="AH1844" s="369">
        <v>1932.59</v>
      </c>
    </row>
    <row r="1845" spans="32:34">
      <c r="AF1845" s="367">
        <f t="shared" si="28"/>
        <v>41640</v>
      </c>
      <c r="AG1845" s="368">
        <v>41655</v>
      </c>
      <c r="AH1845" s="369">
        <v>1941.45</v>
      </c>
    </row>
    <row r="1846" spans="32:34">
      <c r="AF1846" s="367">
        <f t="shared" si="28"/>
        <v>41640</v>
      </c>
      <c r="AG1846" s="368">
        <v>41656</v>
      </c>
      <c r="AH1846" s="369">
        <v>1947.15</v>
      </c>
    </row>
    <row r="1847" spans="32:34">
      <c r="AF1847" s="367">
        <f t="shared" si="28"/>
        <v>41640</v>
      </c>
      <c r="AG1847" s="368">
        <v>41657</v>
      </c>
      <c r="AH1847" s="369">
        <v>1957.86</v>
      </c>
    </row>
    <row r="1848" spans="32:34">
      <c r="AF1848" s="367">
        <f t="shared" si="28"/>
        <v>41640</v>
      </c>
      <c r="AG1848" s="368">
        <v>41658</v>
      </c>
      <c r="AH1848" s="369">
        <v>1957.86</v>
      </c>
    </row>
    <row r="1849" spans="32:34">
      <c r="AF1849" s="367">
        <f t="shared" si="28"/>
        <v>41640</v>
      </c>
      <c r="AG1849" s="368">
        <v>41659</v>
      </c>
      <c r="AH1849" s="369">
        <v>1957.86</v>
      </c>
    </row>
    <row r="1850" spans="32:34">
      <c r="AF1850" s="367">
        <f t="shared" si="28"/>
        <v>41640</v>
      </c>
      <c r="AG1850" s="368">
        <v>41660</v>
      </c>
      <c r="AH1850" s="369">
        <v>1957.86</v>
      </c>
    </row>
    <row r="1851" spans="32:34">
      <c r="AF1851" s="367">
        <f t="shared" si="28"/>
        <v>41640</v>
      </c>
      <c r="AG1851" s="368">
        <v>41661</v>
      </c>
      <c r="AH1851" s="369">
        <v>1981.98</v>
      </c>
    </row>
    <row r="1852" spans="32:34">
      <c r="AF1852" s="367">
        <f t="shared" si="28"/>
        <v>41640</v>
      </c>
      <c r="AG1852" s="368">
        <v>41662</v>
      </c>
      <c r="AH1852" s="369">
        <v>1983.48</v>
      </c>
    </row>
    <row r="1853" spans="32:34">
      <c r="AF1853" s="367">
        <f t="shared" si="28"/>
        <v>41640</v>
      </c>
      <c r="AG1853" s="368">
        <v>41663</v>
      </c>
      <c r="AH1853" s="369">
        <v>1993.23</v>
      </c>
    </row>
    <row r="1854" spans="32:34">
      <c r="AF1854" s="367">
        <f t="shared" si="28"/>
        <v>41640</v>
      </c>
      <c r="AG1854" s="368">
        <v>41664</v>
      </c>
      <c r="AH1854" s="369">
        <v>2000.48</v>
      </c>
    </row>
    <row r="1855" spans="32:34">
      <c r="AF1855" s="367">
        <f t="shared" si="28"/>
        <v>41640</v>
      </c>
      <c r="AG1855" s="368">
        <v>41665</v>
      </c>
      <c r="AH1855" s="369">
        <v>2000.48</v>
      </c>
    </row>
    <row r="1856" spans="32:34">
      <c r="AF1856" s="367">
        <f t="shared" si="28"/>
        <v>41640</v>
      </c>
      <c r="AG1856" s="368">
        <v>41666</v>
      </c>
      <c r="AH1856" s="369">
        <v>2000.48</v>
      </c>
    </row>
    <row r="1857" spans="32:34">
      <c r="AF1857" s="367">
        <f t="shared" si="28"/>
        <v>41640</v>
      </c>
      <c r="AG1857" s="368">
        <v>41667</v>
      </c>
      <c r="AH1857" s="369">
        <v>1997.91</v>
      </c>
    </row>
    <row r="1858" spans="32:34">
      <c r="AF1858" s="367">
        <f t="shared" si="28"/>
        <v>41640</v>
      </c>
      <c r="AG1858" s="368">
        <v>41668</v>
      </c>
      <c r="AH1858" s="369">
        <v>2000.56</v>
      </c>
    </row>
    <row r="1859" spans="32:34">
      <c r="AF1859" s="367">
        <f t="shared" si="28"/>
        <v>41640</v>
      </c>
      <c r="AG1859" s="368">
        <v>41669</v>
      </c>
      <c r="AH1859" s="369">
        <v>2013.17</v>
      </c>
    </row>
    <row r="1860" spans="32:34">
      <c r="AF1860" s="367">
        <f t="shared" ref="AF1860:AF1923" si="29">+DATE(YEAR(AG1860),MONTH(AG1860),1)</f>
        <v>41640</v>
      </c>
      <c r="AG1860" s="368">
        <v>41670</v>
      </c>
      <c r="AH1860" s="369">
        <v>2008.26</v>
      </c>
    </row>
    <row r="1861" spans="32:34">
      <c r="AF1861" s="367">
        <f t="shared" si="29"/>
        <v>41671</v>
      </c>
      <c r="AG1861" s="368">
        <v>41671</v>
      </c>
      <c r="AH1861" s="369">
        <v>2021.1</v>
      </c>
    </row>
    <row r="1862" spans="32:34">
      <c r="AF1862" s="367">
        <f t="shared" si="29"/>
        <v>41671</v>
      </c>
      <c r="AG1862" s="368">
        <v>41672</v>
      </c>
      <c r="AH1862" s="369">
        <v>2021.1</v>
      </c>
    </row>
    <row r="1863" spans="32:34">
      <c r="AF1863" s="367">
        <f t="shared" si="29"/>
        <v>41671</v>
      </c>
      <c r="AG1863" s="368">
        <v>41673</v>
      </c>
      <c r="AH1863" s="369">
        <v>2021.1</v>
      </c>
    </row>
    <row r="1864" spans="32:34">
      <c r="AF1864" s="367">
        <f t="shared" si="29"/>
        <v>41671</v>
      </c>
      <c r="AG1864" s="368">
        <v>41674</v>
      </c>
      <c r="AH1864" s="369">
        <v>2039.85</v>
      </c>
    </row>
    <row r="1865" spans="32:34">
      <c r="AF1865" s="367">
        <f t="shared" si="29"/>
        <v>41671</v>
      </c>
      <c r="AG1865" s="368">
        <v>41675</v>
      </c>
      <c r="AH1865" s="369">
        <v>2041.34</v>
      </c>
    </row>
    <row r="1866" spans="32:34">
      <c r="AF1866" s="367">
        <f t="shared" si="29"/>
        <v>41671</v>
      </c>
      <c r="AG1866" s="368">
        <v>41676</v>
      </c>
      <c r="AH1866" s="369">
        <v>2048.75</v>
      </c>
    </row>
    <row r="1867" spans="32:34">
      <c r="AF1867" s="367">
        <f t="shared" si="29"/>
        <v>41671</v>
      </c>
      <c r="AG1867" s="368">
        <v>41677</v>
      </c>
      <c r="AH1867" s="369">
        <v>2049.52</v>
      </c>
    </row>
    <row r="1868" spans="32:34">
      <c r="AF1868" s="367">
        <f t="shared" si="29"/>
        <v>41671</v>
      </c>
      <c r="AG1868" s="368">
        <v>41678</v>
      </c>
      <c r="AH1868" s="369">
        <v>2046.06</v>
      </c>
    </row>
    <row r="1869" spans="32:34">
      <c r="AF1869" s="367">
        <f t="shared" si="29"/>
        <v>41671</v>
      </c>
      <c r="AG1869" s="368">
        <v>41679</v>
      </c>
      <c r="AH1869" s="369">
        <v>2046.06</v>
      </c>
    </row>
    <row r="1870" spans="32:34">
      <c r="AF1870" s="367">
        <f t="shared" si="29"/>
        <v>41671</v>
      </c>
      <c r="AG1870" s="368">
        <v>41680</v>
      </c>
      <c r="AH1870" s="369">
        <v>2046.06</v>
      </c>
    </row>
    <row r="1871" spans="32:34">
      <c r="AF1871" s="367">
        <f t="shared" si="29"/>
        <v>41671</v>
      </c>
      <c r="AG1871" s="368">
        <v>41681</v>
      </c>
      <c r="AH1871" s="369">
        <v>2048.5500000000002</v>
      </c>
    </row>
    <row r="1872" spans="32:34">
      <c r="AF1872" s="367">
        <f t="shared" si="29"/>
        <v>41671</v>
      </c>
      <c r="AG1872" s="368">
        <v>41682</v>
      </c>
      <c r="AH1872" s="369">
        <v>2041.61</v>
      </c>
    </row>
    <row r="1873" spans="32:34">
      <c r="AF1873" s="367">
        <f t="shared" si="29"/>
        <v>41671</v>
      </c>
      <c r="AG1873" s="368">
        <v>41683</v>
      </c>
      <c r="AH1873" s="369">
        <v>2031.75</v>
      </c>
    </row>
    <row r="1874" spans="32:34">
      <c r="AF1874" s="367">
        <f t="shared" si="29"/>
        <v>41671</v>
      </c>
      <c r="AG1874" s="368">
        <v>41684</v>
      </c>
      <c r="AH1874" s="369">
        <v>2032.99</v>
      </c>
    </row>
    <row r="1875" spans="32:34">
      <c r="AF1875" s="367">
        <f t="shared" si="29"/>
        <v>41671</v>
      </c>
      <c r="AG1875" s="368">
        <v>41685</v>
      </c>
      <c r="AH1875" s="369">
        <v>2022.68</v>
      </c>
    </row>
    <row r="1876" spans="32:34">
      <c r="AF1876" s="367">
        <f t="shared" si="29"/>
        <v>41671</v>
      </c>
      <c r="AG1876" s="368">
        <v>41686</v>
      </c>
      <c r="AH1876" s="369">
        <v>2022.68</v>
      </c>
    </row>
    <row r="1877" spans="32:34">
      <c r="AF1877" s="367">
        <f t="shared" si="29"/>
        <v>41671</v>
      </c>
      <c r="AG1877" s="368">
        <v>41687</v>
      </c>
      <c r="AH1877" s="369">
        <v>2022.68</v>
      </c>
    </row>
    <row r="1878" spans="32:34">
      <c r="AF1878" s="367">
        <f t="shared" si="29"/>
        <v>41671</v>
      </c>
      <c r="AG1878" s="368">
        <v>41688</v>
      </c>
      <c r="AH1878" s="369">
        <v>2022.68</v>
      </c>
    </row>
    <row r="1879" spans="32:34">
      <c r="AF1879" s="367">
        <f t="shared" si="29"/>
        <v>41671</v>
      </c>
      <c r="AG1879" s="368">
        <v>41689</v>
      </c>
      <c r="AH1879" s="369">
        <v>2028.54</v>
      </c>
    </row>
    <row r="1880" spans="32:34">
      <c r="AF1880" s="367">
        <f t="shared" si="29"/>
        <v>41671</v>
      </c>
      <c r="AG1880" s="368">
        <v>41690</v>
      </c>
      <c r="AH1880" s="369">
        <v>2042.22</v>
      </c>
    </row>
    <row r="1881" spans="32:34">
      <c r="AF1881" s="367">
        <f t="shared" si="29"/>
        <v>41671</v>
      </c>
      <c r="AG1881" s="368">
        <v>41691</v>
      </c>
      <c r="AH1881" s="369">
        <v>2052.46</v>
      </c>
    </row>
    <row r="1882" spans="32:34">
      <c r="AF1882" s="367">
        <f t="shared" si="29"/>
        <v>41671</v>
      </c>
      <c r="AG1882" s="368">
        <v>41692</v>
      </c>
      <c r="AH1882" s="369">
        <v>2043.96</v>
      </c>
    </row>
    <row r="1883" spans="32:34">
      <c r="AF1883" s="367">
        <f t="shared" si="29"/>
        <v>41671</v>
      </c>
      <c r="AG1883" s="368">
        <v>41693</v>
      </c>
      <c r="AH1883" s="369">
        <v>2043.96</v>
      </c>
    </row>
    <row r="1884" spans="32:34">
      <c r="AF1884" s="367">
        <f t="shared" si="29"/>
        <v>41671</v>
      </c>
      <c r="AG1884" s="368">
        <v>41694</v>
      </c>
      <c r="AH1884" s="369">
        <v>2043.96</v>
      </c>
    </row>
    <row r="1885" spans="32:34">
      <c r="AF1885" s="367">
        <f t="shared" si="29"/>
        <v>41671</v>
      </c>
      <c r="AG1885" s="368">
        <v>41695</v>
      </c>
      <c r="AH1885" s="369">
        <v>2042.67</v>
      </c>
    </row>
    <row r="1886" spans="32:34">
      <c r="AF1886" s="367">
        <f t="shared" si="29"/>
        <v>41671</v>
      </c>
      <c r="AG1886" s="368">
        <v>41696</v>
      </c>
      <c r="AH1886" s="369">
        <v>2045.45</v>
      </c>
    </row>
    <row r="1887" spans="32:34">
      <c r="AF1887" s="367">
        <f t="shared" si="29"/>
        <v>41671</v>
      </c>
      <c r="AG1887" s="368">
        <v>41697</v>
      </c>
      <c r="AH1887" s="369">
        <v>2053.11</v>
      </c>
    </row>
    <row r="1888" spans="32:34">
      <c r="AF1888" s="367">
        <f t="shared" si="29"/>
        <v>41671</v>
      </c>
      <c r="AG1888" s="368">
        <v>41698</v>
      </c>
      <c r="AH1888" s="369">
        <v>2054.9</v>
      </c>
    </row>
    <row r="1889" spans="32:34">
      <c r="AF1889" s="367">
        <f t="shared" si="29"/>
        <v>41699</v>
      </c>
      <c r="AG1889" s="368">
        <v>41699</v>
      </c>
      <c r="AH1889" s="369">
        <v>2046.75</v>
      </c>
    </row>
    <row r="1890" spans="32:34">
      <c r="AF1890" s="367">
        <f t="shared" si="29"/>
        <v>41699</v>
      </c>
      <c r="AG1890" s="368">
        <v>41700</v>
      </c>
      <c r="AH1890" s="369">
        <v>2046.75</v>
      </c>
    </row>
    <row r="1891" spans="32:34">
      <c r="AF1891" s="367">
        <f t="shared" si="29"/>
        <v>41699</v>
      </c>
      <c r="AG1891" s="368">
        <v>41701</v>
      </c>
      <c r="AH1891" s="369">
        <v>2046.75</v>
      </c>
    </row>
    <row r="1892" spans="32:34">
      <c r="AF1892" s="367">
        <f t="shared" si="29"/>
        <v>41699</v>
      </c>
      <c r="AG1892" s="368">
        <v>41702</v>
      </c>
      <c r="AH1892" s="369">
        <v>2052.5100000000002</v>
      </c>
    </row>
    <row r="1893" spans="32:34">
      <c r="AF1893" s="367">
        <f t="shared" si="29"/>
        <v>41699</v>
      </c>
      <c r="AG1893" s="368">
        <v>41703</v>
      </c>
      <c r="AH1893" s="369">
        <v>2047.75</v>
      </c>
    </row>
    <row r="1894" spans="32:34">
      <c r="AF1894" s="367">
        <f t="shared" si="29"/>
        <v>41699</v>
      </c>
      <c r="AG1894" s="368">
        <v>41704</v>
      </c>
      <c r="AH1894" s="369">
        <v>2045.14</v>
      </c>
    </row>
    <row r="1895" spans="32:34">
      <c r="AF1895" s="367">
        <f t="shared" si="29"/>
        <v>41699</v>
      </c>
      <c r="AG1895" s="368">
        <v>41705</v>
      </c>
      <c r="AH1895" s="369">
        <v>2030.02</v>
      </c>
    </row>
    <row r="1896" spans="32:34">
      <c r="AF1896" s="367">
        <f t="shared" si="29"/>
        <v>41699</v>
      </c>
      <c r="AG1896" s="368">
        <v>41706</v>
      </c>
      <c r="AH1896" s="369">
        <v>2036.2</v>
      </c>
    </row>
    <row r="1897" spans="32:34">
      <c r="AF1897" s="367">
        <f t="shared" si="29"/>
        <v>41699</v>
      </c>
      <c r="AG1897" s="368">
        <v>41707</v>
      </c>
      <c r="AH1897" s="369">
        <v>2036.2</v>
      </c>
    </row>
    <row r="1898" spans="32:34">
      <c r="AF1898" s="367">
        <f t="shared" si="29"/>
        <v>41699</v>
      </c>
      <c r="AG1898" s="368">
        <v>41708</v>
      </c>
      <c r="AH1898" s="369">
        <v>2036.2</v>
      </c>
    </row>
    <row r="1899" spans="32:34">
      <c r="AF1899" s="367">
        <f t="shared" si="29"/>
        <v>41699</v>
      </c>
      <c r="AG1899" s="368">
        <v>41709</v>
      </c>
      <c r="AH1899" s="369">
        <v>2042.78</v>
      </c>
    </row>
    <row r="1900" spans="32:34">
      <c r="AF1900" s="367">
        <f t="shared" si="29"/>
        <v>41699</v>
      </c>
      <c r="AG1900" s="368">
        <v>41710</v>
      </c>
      <c r="AH1900" s="369">
        <v>2043.59</v>
      </c>
    </row>
    <row r="1901" spans="32:34">
      <c r="AF1901" s="367">
        <f t="shared" si="29"/>
        <v>41699</v>
      </c>
      <c r="AG1901" s="368">
        <v>41711</v>
      </c>
      <c r="AH1901" s="369">
        <v>2047.59</v>
      </c>
    </row>
    <row r="1902" spans="32:34">
      <c r="AF1902" s="367">
        <f t="shared" si="29"/>
        <v>41699</v>
      </c>
      <c r="AG1902" s="368">
        <v>41712</v>
      </c>
      <c r="AH1902" s="369">
        <v>2044.48</v>
      </c>
    </row>
    <row r="1903" spans="32:34">
      <c r="AF1903" s="367">
        <f t="shared" si="29"/>
        <v>41699</v>
      </c>
      <c r="AG1903" s="368">
        <v>41713</v>
      </c>
      <c r="AH1903" s="369">
        <v>2044.58</v>
      </c>
    </row>
    <row r="1904" spans="32:34">
      <c r="AF1904" s="367">
        <f t="shared" si="29"/>
        <v>41699</v>
      </c>
      <c r="AG1904" s="368">
        <v>41714</v>
      </c>
      <c r="AH1904" s="369">
        <v>2044.58</v>
      </c>
    </row>
    <row r="1905" spans="32:34">
      <c r="AF1905" s="367">
        <f t="shared" si="29"/>
        <v>41699</v>
      </c>
      <c r="AG1905" s="368">
        <v>41715</v>
      </c>
      <c r="AH1905" s="369">
        <v>2044.58</v>
      </c>
    </row>
    <row r="1906" spans="32:34">
      <c r="AF1906" s="367">
        <f t="shared" si="29"/>
        <v>41699</v>
      </c>
      <c r="AG1906" s="368">
        <v>41716</v>
      </c>
      <c r="AH1906" s="369">
        <v>2035.16</v>
      </c>
    </row>
    <row r="1907" spans="32:34">
      <c r="AF1907" s="367">
        <f t="shared" si="29"/>
        <v>41699</v>
      </c>
      <c r="AG1907" s="368">
        <v>41717</v>
      </c>
      <c r="AH1907" s="369">
        <v>2034.86</v>
      </c>
    </row>
    <row r="1908" spans="32:34">
      <c r="AF1908" s="367">
        <f t="shared" si="29"/>
        <v>41699</v>
      </c>
      <c r="AG1908" s="368">
        <v>41718</v>
      </c>
      <c r="AH1908" s="369">
        <v>2017.38</v>
      </c>
    </row>
    <row r="1909" spans="32:34">
      <c r="AF1909" s="367">
        <f t="shared" si="29"/>
        <v>41699</v>
      </c>
      <c r="AG1909" s="368">
        <v>41719</v>
      </c>
      <c r="AH1909" s="369">
        <v>1998.6</v>
      </c>
    </row>
    <row r="1910" spans="32:34">
      <c r="AF1910" s="367">
        <f t="shared" si="29"/>
        <v>41699</v>
      </c>
      <c r="AG1910" s="368">
        <v>41720</v>
      </c>
      <c r="AH1910" s="369">
        <v>1993.85</v>
      </c>
    </row>
    <row r="1911" spans="32:34">
      <c r="AF1911" s="367">
        <f t="shared" si="29"/>
        <v>41699</v>
      </c>
      <c r="AG1911" s="368">
        <v>41721</v>
      </c>
      <c r="AH1911" s="369">
        <v>1993.85</v>
      </c>
    </row>
    <row r="1912" spans="32:34">
      <c r="AF1912" s="367">
        <f t="shared" si="29"/>
        <v>41699</v>
      </c>
      <c r="AG1912" s="368">
        <v>41722</v>
      </c>
      <c r="AH1912" s="369">
        <v>1993.85</v>
      </c>
    </row>
    <row r="1913" spans="32:34">
      <c r="AF1913" s="367">
        <f t="shared" si="29"/>
        <v>41699</v>
      </c>
      <c r="AG1913" s="368">
        <v>41723</v>
      </c>
      <c r="AH1913" s="369">
        <v>1993.85</v>
      </c>
    </row>
    <row r="1914" spans="32:34">
      <c r="AF1914" s="367">
        <f t="shared" si="29"/>
        <v>41699</v>
      </c>
      <c r="AG1914" s="368">
        <v>41724</v>
      </c>
      <c r="AH1914" s="369">
        <v>1978.63</v>
      </c>
    </row>
    <row r="1915" spans="32:34">
      <c r="AF1915" s="367">
        <f t="shared" si="29"/>
        <v>41699</v>
      </c>
      <c r="AG1915" s="368">
        <v>41725</v>
      </c>
      <c r="AH1915" s="369">
        <v>1973.03</v>
      </c>
    </row>
    <row r="1916" spans="32:34">
      <c r="AF1916" s="367">
        <f t="shared" si="29"/>
        <v>41699</v>
      </c>
      <c r="AG1916" s="368">
        <v>41726</v>
      </c>
      <c r="AH1916" s="369">
        <v>1965.64</v>
      </c>
    </row>
    <row r="1917" spans="32:34">
      <c r="AF1917" s="367">
        <f t="shared" si="29"/>
        <v>41699</v>
      </c>
      <c r="AG1917" s="368">
        <v>41727</v>
      </c>
      <c r="AH1917" s="369">
        <v>1965.32</v>
      </c>
    </row>
    <row r="1918" spans="32:34">
      <c r="AF1918" s="367">
        <f t="shared" si="29"/>
        <v>41699</v>
      </c>
      <c r="AG1918" s="368">
        <v>41728</v>
      </c>
      <c r="AH1918" s="369">
        <v>1965.32</v>
      </c>
    </row>
    <row r="1919" spans="32:34">
      <c r="AF1919" s="367">
        <f t="shared" si="29"/>
        <v>41699</v>
      </c>
      <c r="AG1919" s="368">
        <v>41729</v>
      </c>
      <c r="AH1919" s="369">
        <v>1965.32</v>
      </c>
    </row>
    <row r="1920" spans="32:34">
      <c r="AF1920" s="367">
        <f t="shared" si="29"/>
        <v>41730</v>
      </c>
      <c r="AG1920" s="368">
        <v>41730</v>
      </c>
      <c r="AH1920" s="369">
        <v>1969.45</v>
      </c>
    </row>
    <row r="1921" spans="32:34">
      <c r="AF1921" s="367">
        <f t="shared" si="29"/>
        <v>41730</v>
      </c>
      <c r="AG1921" s="368">
        <v>41731</v>
      </c>
      <c r="AH1921" s="369">
        <v>1966.02</v>
      </c>
    </row>
    <row r="1922" spans="32:34">
      <c r="AF1922" s="367">
        <f t="shared" si="29"/>
        <v>41730</v>
      </c>
      <c r="AG1922" s="368">
        <v>41732</v>
      </c>
      <c r="AH1922" s="369">
        <v>1963.51</v>
      </c>
    </row>
    <row r="1923" spans="32:34">
      <c r="AF1923" s="367">
        <f t="shared" si="29"/>
        <v>41730</v>
      </c>
      <c r="AG1923" s="368">
        <v>41733</v>
      </c>
      <c r="AH1923" s="369">
        <v>1966.4</v>
      </c>
    </row>
    <row r="1924" spans="32:34">
      <c r="AF1924" s="367">
        <f t="shared" ref="AF1924:AF1987" si="30">+DATE(YEAR(AG1924),MONTH(AG1924),1)</f>
        <v>41730</v>
      </c>
      <c r="AG1924" s="368">
        <v>41734</v>
      </c>
      <c r="AH1924" s="369">
        <v>1951.85</v>
      </c>
    </row>
    <row r="1925" spans="32:34">
      <c r="AF1925" s="367">
        <f t="shared" si="30"/>
        <v>41730</v>
      </c>
      <c r="AG1925" s="368">
        <v>41735</v>
      </c>
      <c r="AH1925" s="369">
        <v>1951.85</v>
      </c>
    </row>
    <row r="1926" spans="32:34">
      <c r="AF1926" s="367">
        <f t="shared" si="30"/>
        <v>41730</v>
      </c>
      <c r="AG1926" s="368">
        <v>41736</v>
      </c>
      <c r="AH1926" s="369">
        <v>1951.85</v>
      </c>
    </row>
    <row r="1927" spans="32:34">
      <c r="AF1927" s="367">
        <f t="shared" si="30"/>
        <v>41730</v>
      </c>
      <c r="AG1927" s="368">
        <v>41737</v>
      </c>
      <c r="AH1927" s="369">
        <v>1937.59</v>
      </c>
    </row>
    <row r="1928" spans="32:34">
      <c r="AF1928" s="367">
        <f t="shared" si="30"/>
        <v>41730</v>
      </c>
      <c r="AG1928" s="368">
        <v>41738</v>
      </c>
      <c r="AH1928" s="369">
        <v>1923.95</v>
      </c>
    </row>
    <row r="1929" spans="32:34">
      <c r="AF1929" s="367">
        <f t="shared" si="30"/>
        <v>41730</v>
      </c>
      <c r="AG1929" s="368">
        <v>41739</v>
      </c>
      <c r="AH1929" s="369">
        <v>1931.09</v>
      </c>
    </row>
    <row r="1930" spans="32:34">
      <c r="AF1930" s="367">
        <f t="shared" si="30"/>
        <v>41730</v>
      </c>
      <c r="AG1930" s="368">
        <v>41740</v>
      </c>
      <c r="AH1930" s="369">
        <v>1920.93</v>
      </c>
    </row>
    <row r="1931" spans="32:34">
      <c r="AF1931" s="367">
        <f t="shared" si="30"/>
        <v>41730</v>
      </c>
      <c r="AG1931" s="368">
        <v>41741</v>
      </c>
      <c r="AH1931" s="369">
        <v>1927.28</v>
      </c>
    </row>
    <row r="1932" spans="32:34">
      <c r="AF1932" s="367">
        <f t="shared" si="30"/>
        <v>41730</v>
      </c>
      <c r="AG1932" s="368">
        <v>41742</v>
      </c>
      <c r="AH1932" s="369">
        <v>1927.28</v>
      </c>
    </row>
    <row r="1933" spans="32:34">
      <c r="AF1933" s="367">
        <f t="shared" si="30"/>
        <v>41730</v>
      </c>
      <c r="AG1933" s="368">
        <v>41743</v>
      </c>
      <c r="AH1933" s="369">
        <v>1927.28</v>
      </c>
    </row>
    <row r="1934" spans="32:34">
      <c r="AF1934" s="367">
        <f t="shared" si="30"/>
        <v>41730</v>
      </c>
      <c r="AG1934" s="368">
        <v>41744</v>
      </c>
      <c r="AH1934" s="369">
        <v>1926.47</v>
      </c>
    </row>
    <row r="1935" spans="32:34">
      <c r="AF1935" s="367">
        <f t="shared" si="30"/>
        <v>41730</v>
      </c>
      <c r="AG1935" s="368">
        <v>41745</v>
      </c>
      <c r="AH1935" s="369">
        <v>1932.42</v>
      </c>
    </row>
    <row r="1936" spans="32:34">
      <c r="AF1936" s="367">
        <f t="shared" si="30"/>
        <v>41730</v>
      </c>
      <c r="AG1936" s="368">
        <v>41746</v>
      </c>
      <c r="AH1936" s="369">
        <v>1930.62</v>
      </c>
    </row>
    <row r="1937" spans="32:34">
      <c r="AF1937" s="367">
        <f t="shared" si="30"/>
        <v>41730</v>
      </c>
      <c r="AG1937" s="368">
        <v>41747</v>
      </c>
      <c r="AH1937" s="369">
        <v>1930.62</v>
      </c>
    </row>
    <row r="1938" spans="32:34">
      <c r="AF1938" s="367">
        <f t="shared" si="30"/>
        <v>41730</v>
      </c>
      <c r="AG1938" s="368">
        <v>41748</v>
      </c>
      <c r="AH1938" s="369">
        <v>1930.62</v>
      </c>
    </row>
    <row r="1939" spans="32:34">
      <c r="AF1939" s="367">
        <f t="shared" si="30"/>
        <v>41730</v>
      </c>
      <c r="AG1939" s="368">
        <v>41749</v>
      </c>
      <c r="AH1939" s="369">
        <v>1930.62</v>
      </c>
    </row>
    <row r="1940" spans="32:34">
      <c r="AF1940" s="367">
        <f t="shared" si="30"/>
        <v>41730</v>
      </c>
      <c r="AG1940" s="368">
        <v>41750</v>
      </c>
      <c r="AH1940" s="369">
        <v>1930.62</v>
      </c>
    </row>
    <row r="1941" spans="32:34">
      <c r="AF1941" s="367">
        <f t="shared" si="30"/>
        <v>41730</v>
      </c>
      <c r="AG1941" s="368">
        <v>41751</v>
      </c>
      <c r="AH1941" s="369">
        <v>1921.75</v>
      </c>
    </row>
    <row r="1942" spans="32:34">
      <c r="AF1942" s="367">
        <f t="shared" si="30"/>
        <v>41730</v>
      </c>
      <c r="AG1942" s="368">
        <v>41752</v>
      </c>
      <c r="AH1942" s="369">
        <v>1929.66</v>
      </c>
    </row>
    <row r="1943" spans="32:34">
      <c r="AF1943" s="367">
        <f t="shared" si="30"/>
        <v>41730</v>
      </c>
      <c r="AG1943" s="368">
        <v>41753</v>
      </c>
      <c r="AH1943" s="369">
        <v>1936.63</v>
      </c>
    </row>
    <row r="1944" spans="32:34">
      <c r="AF1944" s="367">
        <f t="shared" si="30"/>
        <v>41730</v>
      </c>
      <c r="AG1944" s="368">
        <v>41754</v>
      </c>
      <c r="AH1944" s="369">
        <v>1936.07</v>
      </c>
    </row>
    <row r="1945" spans="32:34">
      <c r="AF1945" s="367">
        <f t="shared" si="30"/>
        <v>41730</v>
      </c>
      <c r="AG1945" s="368">
        <v>41755</v>
      </c>
      <c r="AH1945" s="369">
        <v>1942.37</v>
      </c>
    </row>
    <row r="1946" spans="32:34">
      <c r="AF1946" s="367">
        <f t="shared" si="30"/>
        <v>41730</v>
      </c>
      <c r="AG1946" s="368">
        <v>41756</v>
      </c>
      <c r="AH1946" s="369">
        <v>1942.37</v>
      </c>
    </row>
    <row r="1947" spans="32:34">
      <c r="AF1947" s="367">
        <f t="shared" si="30"/>
        <v>41730</v>
      </c>
      <c r="AG1947" s="368">
        <v>41757</v>
      </c>
      <c r="AH1947" s="369">
        <v>1942.37</v>
      </c>
    </row>
    <row r="1948" spans="32:34">
      <c r="AF1948" s="367">
        <f t="shared" si="30"/>
        <v>41730</v>
      </c>
      <c r="AG1948" s="368">
        <v>41758</v>
      </c>
      <c r="AH1948" s="369">
        <v>1936.13</v>
      </c>
    </row>
    <row r="1949" spans="32:34">
      <c r="AF1949" s="367">
        <f t="shared" si="30"/>
        <v>41730</v>
      </c>
      <c r="AG1949" s="368">
        <v>41759</v>
      </c>
      <c r="AH1949" s="369">
        <v>1935.14</v>
      </c>
    </row>
    <row r="1950" spans="32:34">
      <c r="AF1950" s="367">
        <f t="shared" si="30"/>
        <v>41760</v>
      </c>
      <c r="AG1950" s="368">
        <v>41760</v>
      </c>
      <c r="AH1950" s="369">
        <v>1933.46</v>
      </c>
    </row>
    <row r="1951" spans="32:34">
      <c r="AF1951" s="367">
        <f t="shared" si="30"/>
        <v>41760</v>
      </c>
      <c r="AG1951" s="368">
        <v>41761</v>
      </c>
      <c r="AH1951" s="369">
        <v>1933.46</v>
      </c>
    </row>
    <row r="1952" spans="32:34">
      <c r="AF1952" s="367">
        <f t="shared" si="30"/>
        <v>41760</v>
      </c>
      <c r="AG1952" s="368">
        <v>41762</v>
      </c>
      <c r="AH1952" s="369">
        <v>1926.3</v>
      </c>
    </row>
    <row r="1953" spans="32:34">
      <c r="AF1953" s="367">
        <f t="shared" si="30"/>
        <v>41760</v>
      </c>
      <c r="AG1953" s="368">
        <v>41763</v>
      </c>
      <c r="AH1953" s="369">
        <v>1926.3</v>
      </c>
    </row>
    <row r="1954" spans="32:34">
      <c r="AF1954" s="367">
        <f t="shared" si="30"/>
        <v>41760</v>
      </c>
      <c r="AG1954" s="368">
        <v>41764</v>
      </c>
      <c r="AH1954" s="369">
        <v>1926.3</v>
      </c>
    </row>
    <row r="1955" spans="32:34">
      <c r="AF1955" s="367">
        <f t="shared" si="30"/>
        <v>41760</v>
      </c>
      <c r="AG1955" s="368">
        <v>41765</v>
      </c>
      <c r="AH1955" s="369">
        <v>1923.07</v>
      </c>
    </row>
    <row r="1956" spans="32:34">
      <c r="AF1956" s="367">
        <f t="shared" si="30"/>
        <v>41760</v>
      </c>
      <c r="AG1956" s="368">
        <v>41766</v>
      </c>
      <c r="AH1956" s="369">
        <v>1918.2</v>
      </c>
    </row>
    <row r="1957" spans="32:34">
      <c r="AF1957" s="367">
        <f t="shared" si="30"/>
        <v>41760</v>
      </c>
      <c r="AG1957" s="368">
        <v>41767</v>
      </c>
      <c r="AH1957" s="369">
        <v>1912.97</v>
      </c>
    </row>
    <row r="1958" spans="32:34">
      <c r="AF1958" s="367">
        <f t="shared" si="30"/>
        <v>41760</v>
      </c>
      <c r="AG1958" s="368">
        <v>41768</v>
      </c>
      <c r="AH1958" s="369">
        <v>1902.15</v>
      </c>
    </row>
    <row r="1959" spans="32:34">
      <c r="AF1959" s="367">
        <f t="shared" si="30"/>
        <v>41760</v>
      </c>
      <c r="AG1959" s="368">
        <v>41769</v>
      </c>
      <c r="AH1959" s="369">
        <v>1901.51</v>
      </c>
    </row>
    <row r="1960" spans="32:34">
      <c r="AF1960" s="367">
        <f t="shared" si="30"/>
        <v>41760</v>
      </c>
      <c r="AG1960" s="368">
        <v>41770</v>
      </c>
      <c r="AH1960" s="369">
        <v>1901.51</v>
      </c>
    </row>
    <row r="1961" spans="32:34">
      <c r="AF1961" s="367">
        <f t="shared" si="30"/>
        <v>41760</v>
      </c>
      <c r="AG1961" s="368">
        <v>41771</v>
      </c>
      <c r="AH1961" s="369">
        <v>1901.51</v>
      </c>
    </row>
    <row r="1962" spans="32:34">
      <c r="AF1962" s="367">
        <f t="shared" si="30"/>
        <v>41760</v>
      </c>
      <c r="AG1962" s="368">
        <v>41772</v>
      </c>
      <c r="AH1962" s="369">
        <v>1904.85</v>
      </c>
    </row>
    <row r="1963" spans="32:34">
      <c r="AF1963" s="367">
        <f t="shared" si="30"/>
        <v>41760</v>
      </c>
      <c r="AG1963" s="368">
        <v>41773</v>
      </c>
      <c r="AH1963" s="369">
        <v>1919.7</v>
      </c>
    </row>
    <row r="1964" spans="32:34">
      <c r="AF1964" s="367">
        <f t="shared" si="30"/>
        <v>41760</v>
      </c>
      <c r="AG1964" s="368">
        <v>41774</v>
      </c>
      <c r="AH1964" s="369">
        <v>1925.31</v>
      </c>
    </row>
    <row r="1965" spans="32:34">
      <c r="AF1965" s="367">
        <f t="shared" si="30"/>
        <v>41760</v>
      </c>
      <c r="AG1965" s="368">
        <v>41775</v>
      </c>
      <c r="AH1965" s="369">
        <v>1927.8</v>
      </c>
    </row>
    <row r="1966" spans="32:34">
      <c r="AF1966" s="367">
        <f t="shared" si="30"/>
        <v>41760</v>
      </c>
      <c r="AG1966" s="368">
        <v>41776</v>
      </c>
      <c r="AH1966" s="369">
        <v>1925.41</v>
      </c>
    </row>
    <row r="1967" spans="32:34">
      <c r="AF1967" s="367">
        <f t="shared" si="30"/>
        <v>41760</v>
      </c>
      <c r="AG1967" s="368">
        <v>41777</v>
      </c>
      <c r="AH1967" s="369">
        <v>1925.41</v>
      </c>
    </row>
    <row r="1968" spans="32:34">
      <c r="AF1968" s="367">
        <f t="shared" si="30"/>
        <v>41760</v>
      </c>
      <c r="AG1968" s="368">
        <v>41778</v>
      </c>
      <c r="AH1968" s="369">
        <v>1925.41</v>
      </c>
    </row>
    <row r="1969" spans="32:34">
      <c r="AF1969" s="367">
        <f t="shared" si="30"/>
        <v>41760</v>
      </c>
      <c r="AG1969" s="368">
        <v>41779</v>
      </c>
      <c r="AH1969" s="369">
        <v>1921.16</v>
      </c>
    </row>
    <row r="1970" spans="32:34">
      <c r="AF1970" s="367">
        <f t="shared" si="30"/>
        <v>41760</v>
      </c>
      <c r="AG1970" s="368">
        <v>41780</v>
      </c>
      <c r="AH1970" s="369">
        <v>1920.41</v>
      </c>
    </row>
    <row r="1971" spans="32:34">
      <c r="AF1971" s="367">
        <f t="shared" si="30"/>
        <v>41760</v>
      </c>
      <c r="AG1971" s="368">
        <v>41781</v>
      </c>
      <c r="AH1971" s="369">
        <v>1911.33</v>
      </c>
    </row>
    <row r="1972" spans="32:34">
      <c r="AF1972" s="367">
        <f t="shared" si="30"/>
        <v>41760</v>
      </c>
      <c r="AG1972" s="368">
        <v>41782</v>
      </c>
      <c r="AH1972" s="369">
        <v>1905.8</v>
      </c>
    </row>
    <row r="1973" spans="32:34">
      <c r="AF1973" s="367">
        <f t="shared" si="30"/>
        <v>41760</v>
      </c>
      <c r="AG1973" s="368">
        <v>41783</v>
      </c>
      <c r="AH1973" s="369">
        <v>1905.53</v>
      </c>
    </row>
    <row r="1974" spans="32:34">
      <c r="AF1974" s="367">
        <f t="shared" si="30"/>
        <v>41760</v>
      </c>
      <c r="AG1974" s="368">
        <v>41784</v>
      </c>
      <c r="AH1974" s="369">
        <v>1905.53</v>
      </c>
    </row>
    <row r="1975" spans="32:34">
      <c r="AF1975" s="367">
        <f t="shared" si="30"/>
        <v>41760</v>
      </c>
      <c r="AG1975" s="368">
        <v>41785</v>
      </c>
      <c r="AH1975" s="369">
        <v>1905.53</v>
      </c>
    </row>
    <row r="1976" spans="32:34">
      <c r="AF1976" s="367">
        <f t="shared" si="30"/>
        <v>41760</v>
      </c>
      <c r="AG1976" s="368">
        <v>41786</v>
      </c>
      <c r="AH1976" s="369">
        <v>1905.53</v>
      </c>
    </row>
    <row r="1977" spans="32:34">
      <c r="AF1977" s="367">
        <f t="shared" si="30"/>
        <v>41760</v>
      </c>
      <c r="AG1977" s="368">
        <v>41787</v>
      </c>
      <c r="AH1977" s="369">
        <v>1917.34</v>
      </c>
    </row>
    <row r="1978" spans="32:34">
      <c r="AF1978" s="367">
        <f t="shared" si="30"/>
        <v>41760</v>
      </c>
      <c r="AG1978" s="368">
        <v>41788</v>
      </c>
      <c r="AH1978" s="369">
        <v>1910.8</v>
      </c>
    </row>
    <row r="1979" spans="32:34">
      <c r="AF1979" s="367">
        <f t="shared" si="30"/>
        <v>41760</v>
      </c>
      <c r="AG1979" s="368">
        <v>41789</v>
      </c>
      <c r="AH1979" s="369">
        <v>1905.96</v>
      </c>
    </row>
    <row r="1980" spans="32:34">
      <c r="AF1980" s="367">
        <f t="shared" si="30"/>
        <v>41760</v>
      </c>
      <c r="AG1980" s="368">
        <v>41790</v>
      </c>
      <c r="AH1980" s="369">
        <v>1900.64</v>
      </c>
    </row>
    <row r="1981" spans="32:34">
      <c r="AF1981" s="367">
        <f t="shared" si="30"/>
        <v>41791</v>
      </c>
      <c r="AG1981" s="368">
        <v>41791</v>
      </c>
      <c r="AH1981" s="369">
        <v>1900.64</v>
      </c>
    </row>
    <row r="1982" spans="32:34">
      <c r="AF1982" s="367">
        <f t="shared" si="30"/>
        <v>41791</v>
      </c>
      <c r="AG1982" s="368">
        <v>41792</v>
      </c>
      <c r="AH1982" s="369">
        <v>1900.64</v>
      </c>
    </row>
    <row r="1983" spans="32:34">
      <c r="AF1983" s="367">
        <f t="shared" si="30"/>
        <v>41791</v>
      </c>
      <c r="AG1983" s="368">
        <v>41793</v>
      </c>
      <c r="AH1983" s="369">
        <v>1900.64</v>
      </c>
    </row>
    <row r="1984" spans="32:34">
      <c r="AF1984" s="367">
        <f t="shared" si="30"/>
        <v>41791</v>
      </c>
      <c r="AG1984" s="368">
        <v>41794</v>
      </c>
      <c r="AH1984" s="369">
        <v>1899.74</v>
      </c>
    </row>
    <row r="1985" spans="32:34">
      <c r="AF1985" s="367">
        <f t="shared" si="30"/>
        <v>41791</v>
      </c>
      <c r="AG1985" s="368">
        <v>41795</v>
      </c>
      <c r="AH1985" s="369">
        <v>1897.7</v>
      </c>
    </row>
    <row r="1986" spans="32:34">
      <c r="AF1986" s="367">
        <f t="shared" si="30"/>
        <v>41791</v>
      </c>
      <c r="AG1986" s="368">
        <v>41796</v>
      </c>
      <c r="AH1986" s="369">
        <v>1892.08</v>
      </c>
    </row>
    <row r="1987" spans="32:34">
      <c r="AF1987" s="367">
        <f t="shared" si="30"/>
        <v>41791</v>
      </c>
      <c r="AG1987" s="368">
        <v>41797</v>
      </c>
      <c r="AH1987" s="369">
        <v>1886.09</v>
      </c>
    </row>
    <row r="1988" spans="32:34">
      <c r="AF1988" s="367">
        <f t="shared" ref="AF1988:AF2051" si="31">+DATE(YEAR(AG1988),MONTH(AG1988),1)</f>
        <v>41791</v>
      </c>
      <c r="AG1988" s="368">
        <v>41798</v>
      </c>
      <c r="AH1988" s="369">
        <v>1886.09</v>
      </c>
    </row>
    <row r="1989" spans="32:34">
      <c r="AF1989" s="367">
        <f t="shared" si="31"/>
        <v>41791</v>
      </c>
      <c r="AG1989" s="368">
        <v>41799</v>
      </c>
      <c r="AH1989" s="369">
        <v>1886.09</v>
      </c>
    </row>
    <row r="1990" spans="32:34">
      <c r="AF1990" s="367">
        <f t="shared" si="31"/>
        <v>41791</v>
      </c>
      <c r="AG1990" s="368">
        <v>41800</v>
      </c>
      <c r="AH1990" s="369">
        <v>1883.76</v>
      </c>
    </row>
    <row r="1991" spans="32:34">
      <c r="AF1991" s="367">
        <f t="shared" si="31"/>
        <v>41791</v>
      </c>
      <c r="AG1991" s="368">
        <v>41801</v>
      </c>
      <c r="AH1991" s="369">
        <v>1884.97</v>
      </c>
    </row>
    <row r="1992" spans="32:34">
      <c r="AF1992" s="367">
        <f t="shared" si="31"/>
        <v>41791</v>
      </c>
      <c r="AG1992" s="368">
        <v>41802</v>
      </c>
      <c r="AH1992" s="369">
        <v>1884.63</v>
      </c>
    </row>
    <row r="1993" spans="32:34">
      <c r="AF1993" s="367">
        <f t="shared" si="31"/>
        <v>41791</v>
      </c>
      <c r="AG1993" s="368">
        <v>41803</v>
      </c>
      <c r="AH1993" s="369">
        <v>1877.18</v>
      </c>
    </row>
    <row r="1994" spans="32:34">
      <c r="AF1994" s="367">
        <f t="shared" si="31"/>
        <v>41791</v>
      </c>
      <c r="AG1994" s="368">
        <v>41804</v>
      </c>
      <c r="AH1994" s="369">
        <v>1877.37</v>
      </c>
    </row>
    <row r="1995" spans="32:34">
      <c r="AF1995" s="367">
        <f t="shared" si="31"/>
        <v>41791</v>
      </c>
      <c r="AG1995" s="368">
        <v>41805</v>
      </c>
      <c r="AH1995" s="369">
        <v>1877.37</v>
      </c>
    </row>
    <row r="1996" spans="32:34">
      <c r="AF1996" s="367">
        <f t="shared" si="31"/>
        <v>41791</v>
      </c>
      <c r="AG1996" s="368">
        <v>41806</v>
      </c>
      <c r="AH1996" s="369">
        <v>1877.37</v>
      </c>
    </row>
    <row r="1997" spans="32:34">
      <c r="AF1997" s="367">
        <f t="shared" si="31"/>
        <v>41791</v>
      </c>
      <c r="AG1997" s="368">
        <v>41807</v>
      </c>
      <c r="AH1997" s="369">
        <v>1886.62</v>
      </c>
    </row>
    <row r="1998" spans="32:34">
      <c r="AF1998" s="367">
        <f t="shared" si="31"/>
        <v>41791</v>
      </c>
      <c r="AG1998" s="368">
        <v>41808</v>
      </c>
      <c r="AH1998" s="369">
        <v>1899.9</v>
      </c>
    </row>
    <row r="1999" spans="32:34">
      <c r="AF1999" s="367">
        <f t="shared" si="31"/>
        <v>41791</v>
      </c>
      <c r="AG1999" s="368">
        <v>41809</v>
      </c>
      <c r="AH1999" s="369">
        <v>1895.92</v>
      </c>
    </row>
    <row r="2000" spans="32:34">
      <c r="AF2000" s="367">
        <f t="shared" si="31"/>
        <v>41791</v>
      </c>
      <c r="AG2000" s="368">
        <v>41810</v>
      </c>
      <c r="AH2000" s="369">
        <v>1881.34</v>
      </c>
    </row>
    <row r="2001" spans="32:34">
      <c r="AF2001" s="367">
        <f t="shared" si="31"/>
        <v>41791</v>
      </c>
      <c r="AG2001" s="368">
        <v>41811</v>
      </c>
      <c r="AH2001" s="369">
        <v>1884.56</v>
      </c>
    </row>
    <row r="2002" spans="32:34">
      <c r="AF2002" s="367">
        <f t="shared" si="31"/>
        <v>41791</v>
      </c>
      <c r="AG2002" s="368">
        <v>41812</v>
      </c>
      <c r="AH2002" s="369">
        <v>1884.56</v>
      </c>
    </row>
    <row r="2003" spans="32:34">
      <c r="AF2003" s="367">
        <f t="shared" si="31"/>
        <v>41791</v>
      </c>
      <c r="AG2003" s="368">
        <v>41813</v>
      </c>
      <c r="AH2003" s="369">
        <v>1884.56</v>
      </c>
    </row>
    <row r="2004" spans="32:34">
      <c r="AF2004" s="367">
        <f t="shared" si="31"/>
        <v>41791</v>
      </c>
      <c r="AG2004" s="368">
        <v>41814</v>
      </c>
      <c r="AH2004" s="369">
        <v>1884.56</v>
      </c>
    </row>
    <row r="2005" spans="32:34">
      <c r="AF2005" s="367">
        <f t="shared" si="31"/>
        <v>41791</v>
      </c>
      <c r="AG2005" s="368">
        <v>41815</v>
      </c>
      <c r="AH2005" s="369">
        <v>1886.85</v>
      </c>
    </row>
    <row r="2006" spans="32:34">
      <c r="AF2006" s="367">
        <f t="shared" si="31"/>
        <v>41791</v>
      </c>
      <c r="AG2006" s="368">
        <v>41816</v>
      </c>
      <c r="AH2006" s="369">
        <v>1880.37</v>
      </c>
    </row>
    <row r="2007" spans="32:34">
      <c r="AF2007" s="367">
        <f t="shared" si="31"/>
        <v>41791</v>
      </c>
      <c r="AG2007" s="368">
        <v>41817</v>
      </c>
      <c r="AH2007" s="369">
        <v>1886.01</v>
      </c>
    </row>
    <row r="2008" spans="32:34">
      <c r="AF2008" s="367">
        <f t="shared" si="31"/>
        <v>41791</v>
      </c>
      <c r="AG2008" s="368">
        <v>41818</v>
      </c>
      <c r="AH2008" s="369">
        <v>1881.19</v>
      </c>
    </row>
    <row r="2009" spans="32:34">
      <c r="AF2009" s="367">
        <f t="shared" si="31"/>
        <v>41791</v>
      </c>
      <c r="AG2009" s="368">
        <v>41819</v>
      </c>
      <c r="AH2009" s="369">
        <v>1881.19</v>
      </c>
    </row>
    <row r="2010" spans="32:34">
      <c r="AF2010" s="367">
        <f t="shared" si="31"/>
        <v>41791</v>
      </c>
      <c r="AG2010" s="368">
        <v>41820</v>
      </c>
      <c r="AH2010" s="369">
        <v>1881.19</v>
      </c>
    </row>
    <row r="2011" spans="32:34">
      <c r="AF2011" s="367">
        <f t="shared" si="31"/>
        <v>41821</v>
      </c>
      <c r="AG2011" s="368">
        <v>41821</v>
      </c>
      <c r="AH2011" s="369">
        <v>1881.19</v>
      </c>
    </row>
    <row r="2012" spans="32:34">
      <c r="AF2012" s="367">
        <f t="shared" si="31"/>
        <v>41821</v>
      </c>
      <c r="AG2012" s="368">
        <v>41822</v>
      </c>
      <c r="AH2012" s="369">
        <v>1865.42</v>
      </c>
    </row>
    <row r="2013" spans="32:34">
      <c r="AF2013" s="367">
        <f t="shared" si="31"/>
        <v>41821</v>
      </c>
      <c r="AG2013" s="368">
        <v>41823</v>
      </c>
      <c r="AH2013" s="369">
        <v>1856.73</v>
      </c>
    </row>
    <row r="2014" spans="32:34">
      <c r="AF2014" s="367">
        <f t="shared" si="31"/>
        <v>41821</v>
      </c>
      <c r="AG2014" s="368">
        <v>41824</v>
      </c>
      <c r="AH2014" s="369">
        <v>1848.91</v>
      </c>
    </row>
    <row r="2015" spans="32:34">
      <c r="AF2015" s="367">
        <f t="shared" si="31"/>
        <v>41821</v>
      </c>
      <c r="AG2015" s="368">
        <v>41825</v>
      </c>
      <c r="AH2015" s="369">
        <v>1848.91</v>
      </c>
    </row>
    <row r="2016" spans="32:34">
      <c r="AF2016" s="367">
        <f t="shared" si="31"/>
        <v>41821</v>
      </c>
      <c r="AG2016" s="368">
        <v>41826</v>
      </c>
      <c r="AH2016" s="369">
        <v>1848.91</v>
      </c>
    </row>
    <row r="2017" spans="32:34">
      <c r="AF2017" s="367">
        <f t="shared" si="31"/>
        <v>41821</v>
      </c>
      <c r="AG2017" s="368">
        <v>41827</v>
      </c>
      <c r="AH2017" s="369">
        <v>1848.91</v>
      </c>
    </row>
    <row r="2018" spans="32:34">
      <c r="AF2018" s="367">
        <f t="shared" si="31"/>
        <v>41821</v>
      </c>
      <c r="AG2018" s="368">
        <v>41828</v>
      </c>
      <c r="AH2018" s="369">
        <v>1849.28</v>
      </c>
    </row>
    <row r="2019" spans="32:34">
      <c r="AF2019" s="367">
        <f t="shared" si="31"/>
        <v>41821</v>
      </c>
      <c r="AG2019" s="368">
        <v>41829</v>
      </c>
      <c r="AH2019" s="369">
        <v>1854.24</v>
      </c>
    </row>
    <row r="2020" spans="32:34">
      <c r="AF2020" s="367">
        <f t="shared" si="31"/>
        <v>41821</v>
      </c>
      <c r="AG2020" s="368">
        <v>41830</v>
      </c>
      <c r="AH2020" s="369">
        <v>1859.94</v>
      </c>
    </row>
    <row r="2021" spans="32:34">
      <c r="AF2021" s="367">
        <f t="shared" si="31"/>
        <v>41821</v>
      </c>
      <c r="AG2021" s="368">
        <v>41831</v>
      </c>
      <c r="AH2021" s="369">
        <v>1858.47</v>
      </c>
    </row>
    <row r="2022" spans="32:34">
      <c r="AF2022" s="367">
        <f t="shared" si="31"/>
        <v>41821</v>
      </c>
      <c r="AG2022" s="368">
        <v>41832</v>
      </c>
      <c r="AH2022" s="369">
        <v>1852.57</v>
      </c>
    </row>
    <row r="2023" spans="32:34">
      <c r="AF2023" s="367">
        <f t="shared" si="31"/>
        <v>41821</v>
      </c>
      <c r="AG2023" s="368">
        <v>41833</v>
      </c>
      <c r="AH2023" s="369">
        <v>1852.57</v>
      </c>
    </row>
    <row r="2024" spans="32:34">
      <c r="AF2024" s="367">
        <f t="shared" si="31"/>
        <v>41821</v>
      </c>
      <c r="AG2024" s="368">
        <v>41834</v>
      </c>
      <c r="AH2024" s="369">
        <v>1852.57</v>
      </c>
    </row>
    <row r="2025" spans="32:34">
      <c r="AF2025" s="367">
        <f t="shared" si="31"/>
        <v>41821</v>
      </c>
      <c r="AG2025" s="368">
        <v>41835</v>
      </c>
      <c r="AH2025" s="369">
        <v>1857.93</v>
      </c>
    </row>
    <row r="2026" spans="32:34">
      <c r="AF2026" s="367">
        <f t="shared" si="31"/>
        <v>41821</v>
      </c>
      <c r="AG2026" s="368">
        <v>41836</v>
      </c>
      <c r="AH2026" s="369">
        <v>1867.88</v>
      </c>
    </row>
    <row r="2027" spans="32:34">
      <c r="AF2027" s="367">
        <f t="shared" si="31"/>
        <v>41821</v>
      </c>
      <c r="AG2027" s="368">
        <v>41837</v>
      </c>
      <c r="AH2027" s="369">
        <v>1868.41</v>
      </c>
    </row>
    <row r="2028" spans="32:34">
      <c r="AF2028" s="367">
        <f t="shared" si="31"/>
        <v>41821</v>
      </c>
      <c r="AG2028" s="368">
        <v>41838</v>
      </c>
      <c r="AH2028" s="369">
        <v>1872.27</v>
      </c>
    </row>
    <row r="2029" spans="32:34">
      <c r="AF2029" s="367">
        <f t="shared" si="31"/>
        <v>41821</v>
      </c>
      <c r="AG2029" s="368">
        <v>41839</v>
      </c>
      <c r="AH2029" s="369">
        <v>1871.87</v>
      </c>
    </row>
    <row r="2030" spans="32:34">
      <c r="AF2030" s="367">
        <f t="shared" si="31"/>
        <v>41821</v>
      </c>
      <c r="AG2030" s="368">
        <v>41840</v>
      </c>
      <c r="AH2030" s="369">
        <v>1871.87</v>
      </c>
    </row>
    <row r="2031" spans="32:34">
      <c r="AF2031" s="367">
        <f t="shared" si="31"/>
        <v>41821</v>
      </c>
      <c r="AG2031" s="368">
        <v>41841</v>
      </c>
      <c r="AH2031" s="369">
        <v>1871.87</v>
      </c>
    </row>
    <row r="2032" spans="32:34">
      <c r="AF2032" s="367">
        <f t="shared" si="31"/>
        <v>41821</v>
      </c>
      <c r="AG2032" s="368">
        <v>41842</v>
      </c>
      <c r="AH2032" s="369">
        <v>1861.28</v>
      </c>
    </row>
    <row r="2033" spans="32:34">
      <c r="AF2033" s="367">
        <f t="shared" si="31"/>
        <v>41821</v>
      </c>
      <c r="AG2033" s="368">
        <v>41843</v>
      </c>
      <c r="AH2033" s="369">
        <v>1848.98</v>
      </c>
    </row>
    <row r="2034" spans="32:34">
      <c r="AF2034" s="367">
        <f t="shared" si="31"/>
        <v>41821</v>
      </c>
      <c r="AG2034" s="368">
        <v>41844</v>
      </c>
      <c r="AH2034" s="369">
        <v>1847.85</v>
      </c>
    </row>
    <row r="2035" spans="32:34">
      <c r="AF2035" s="367">
        <f t="shared" si="31"/>
        <v>41821</v>
      </c>
      <c r="AG2035" s="368">
        <v>41845</v>
      </c>
      <c r="AH2035" s="369">
        <v>1846.12</v>
      </c>
    </row>
    <row r="2036" spans="32:34">
      <c r="AF2036" s="367">
        <f t="shared" si="31"/>
        <v>41821</v>
      </c>
      <c r="AG2036" s="368">
        <v>41846</v>
      </c>
      <c r="AH2036" s="369">
        <v>1848.56</v>
      </c>
    </row>
    <row r="2037" spans="32:34">
      <c r="AF2037" s="367">
        <f t="shared" si="31"/>
        <v>41821</v>
      </c>
      <c r="AG2037" s="368">
        <v>41847</v>
      </c>
      <c r="AH2037" s="369">
        <v>1848.56</v>
      </c>
    </row>
    <row r="2038" spans="32:34">
      <c r="AF2038" s="367">
        <f t="shared" si="31"/>
        <v>41821</v>
      </c>
      <c r="AG2038" s="368">
        <v>41848</v>
      </c>
      <c r="AH2038" s="369">
        <v>1848.56</v>
      </c>
    </row>
    <row r="2039" spans="32:34">
      <c r="AF2039" s="367">
        <f t="shared" si="31"/>
        <v>41821</v>
      </c>
      <c r="AG2039" s="368">
        <v>41849</v>
      </c>
      <c r="AH2039" s="369">
        <v>1850.61</v>
      </c>
    </row>
    <row r="2040" spans="32:34">
      <c r="AF2040" s="367">
        <f t="shared" si="31"/>
        <v>41821</v>
      </c>
      <c r="AG2040" s="368">
        <v>41850</v>
      </c>
      <c r="AH2040" s="369">
        <v>1853.3</v>
      </c>
    </row>
    <row r="2041" spans="32:34">
      <c r="AF2041" s="367">
        <f t="shared" si="31"/>
        <v>41821</v>
      </c>
      <c r="AG2041" s="368">
        <v>41851</v>
      </c>
      <c r="AH2041" s="369">
        <v>1872.43</v>
      </c>
    </row>
    <row r="2042" spans="32:34">
      <c r="AF2042" s="367">
        <f t="shared" si="31"/>
        <v>41852</v>
      </c>
      <c r="AG2042" s="368">
        <v>41852</v>
      </c>
      <c r="AH2042" s="369">
        <v>1878.75</v>
      </c>
    </row>
    <row r="2043" spans="32:34">
      <c r="AF2043" s="367">
        <f t="shared" si="31"/>
        <v>41852</v>
      </c>
      <c r="AG2043" s="368">
        <v>41853</v>
      </c>
      <c r="AH2043" s="369">
        <v>1873.65</v>
      </c>
    </row>
    <row r="2044" spans="32:34">
      <c r="AF2044" s="367">
        <f t="shared" si="31"/>
        <v>41852</v>
      </c>
      <c r="AG2044" s="368">
        <v>41854</v>
      </c>
      <c r="AH2044" s="369">
        <v>1873.65</v>
      </c>
    </row>
    <row r="2045" spans="32:34">
      <c r="AF2045" s="367">
        <f t="shared" si="31"/>
        <v>41852</v>
      </c>
      <c r="AG2045" s="368">
        <v>41855</v>
      </c>
      <c r="AH2045" s="369">
        <v>1873.65</v>
      </c>
    </row>
    <row r="2046" spans="32:34">
      <c r="AF2046" s="367">
        <f t="shared" si="31"/>
        <v>41852</v>
      </c>
      <c r="AG2046" s="368">
        <v>41856</v>
      </c>
      <c r="AH2046" s="369">
        <v>1878.68</v>
      </c>
    </row>
    <row r="2047" spans="32:34">
      <c r="AF2047" s="367">
        <f t="shared" si="31"/>
        <v>41852</v>
      </c>
      <c r="AG2047" s="368">
        <v>41857</v>
      </c>
      <c r="AH2047" s="369">
        <v>1892.35</v>
      </c>
    </row>
    <row r="2048" spans="32:34">
      <c r="AF2048" s="367">
        <f t="shared" si="31"/>
        <v>41852</v>
      </c>
      <c r="AG2048" s="368">
        <v>41858</v>
      </c>
      <c r="AH2048" s="369">
        <v>1888.51</v>
      </c>
    </row>
    <row r="2049" spans="32:34">
      <c r="AF2049" s="367">
        <f t="shared" si="31"/>
        <v>41852</v>
      </c>
      <c r="AG2049" s="368">
        <v>41859</v>
      </c>
      <c r="AH2049" s="369">
        <v>1888.51</v>
      </c>
    </row>
    <row r="2050" spans="32:34">
      <c r="AF2050" s="367">
        <f t="shared" si="31"/>
        <v>41852</v>
      </c>
      <c r="AG2050" s="368">
        <v>41860</v>
      </c>
      <c r="AH2050" s="369">
        <v>1891.59</v>
      </c>
    </row>
    <row r="2051" spans="32:34">
      <c r="AF2051" s="367">
        <f t="shared" si="31"/>
        <v>41852</v>
      </c>
      <c r="AG2051" s="368">
        <v>41861</v>
      </c>
      <c r="AH2051" s="369">
        <v>1891.59</v>
      </c>
    </row>
    <row r="2052" spans="32:34">
      <c r="AF2052" s="367">
        <f t="shared" ref="AF2052:AF2115" si="32">+DATE(YEAR(AG2052),MONTH(AG2052),1)</f>
        <v>41852</v>
      </c>
      <c r="AG2052" s="368">
        <v>41862</v>
      </c>
      <c r="AH2052" s="369">
        <v>1891.59</v>
      </c>
    </row>
    <row r="2053" spans="32:34">
      <c r="AF2053" s="367">
        <f t="shared" si="32"/>
        <v>41852</v>
      </c>
      <c r="AG2053" s="368">
        <v>41863</v>
      </c>
      <c r="AH2053" s="369">
        <v>1881.62</v>
      </c>
    </row>
    <row r="2054" spans="32:34">
      <c r="AF2054" s="367">
        <f t="shared" si="32"/>
        <v>41852</v>
      </c>
      <c r="AG2054" s="368">
        <v>41864</v>
      </c>
      <c r="AH2054" s="369">
        <v>1877.4</v>
      </c>
    </row>
    <row r="2055" spans="32:34">
      <c r="AF2055" s="367">
        <f t="shared" si="32"/>
        <v>41852</v>
      </c>
      <c r="AG2055" s="368">
        <v>41865</v>
      </c>
      <c r="AH2055" s="369">
        <v>1883.33</v>
      </c>
    </row>
    <row r="2056" spans="32:34">
      <c r="AF2056" s="367">
        <f t="shared" si="32"/>
        <v>41852</v>
      </c>
      <c r="AG2056" s="368">
        <v>41866</v>
      </c>
      <c r="AH2056" s="369">
        <v>1877.77</v>
      </c>
    </row>
    <row r="2057" spans="32:34">
      <c r="AF2057" s="367">
        <f t="shared" si="32"/>
        <v>41852</v>
      </c>
      <c r="AG2057" s="368">
        <v>41867</v>
      </c>
      <c r="AH2057" s="369">
        <v>1884.81</v>
      </c>
    </row>
    <row r="2058" spans="32:34">
      <c r="AF2058" s="367">
        <f t="shared" si="32"/>
        <v>41852</v>
      </c>
      <c r="AG2058" s="368">
        <v>41868</v>
      </c>
      <c r="AH2058" s="369">
        <v>1884.81</v>
      </c>
    </row>
    <row r="2059" spans="32:34">
      <c r="AF2059" s="367">
        <f t="shared" si="32"/>
        <v>41852</v>
      </c>
      <c r="AG2059" s="368">
        <v>41869</v>
      </c>
      <c r="AH2059" s="369">
        <v>1884.81</v>
      </c>
    </row>
    <row r="2060" spans="32:34">
      <c r="AF2060" s="367">
        <f t="shared" si="32"/>
        <v>41852</v>
      </c>
      <c r="AG2060" s="368">
        <v>41870</v>
      </c>
      <c r="AH2060" s="369">
        <v>1884.81</v>
      </c>
    </row>
    <row r="2061" spans="32:34">
      <c r="AF2061" s="367">
        <f t="shared" si="32"/>
        <v>41852</v>
      </c>
      <c r="AG2061" s="368">
        <v>41871</v>
      </c>
      <c r="AH2061" s="369">
        <v>1894.27</v>
      </c>
    </row>
    <row r="2062" spans="32:34">
      <c r="AF2062" s="367">
        <f t="shared" si="32"/>
        <v>41852</v>
      </c>
      <c r="AG2062" s="368">
        <v>41872</v>
      </c>
      <c r="AH2062" s="369">
        <v>1912.43</v>
      </c>
    </row>
    <row r="2063" spans="32:34">
      <c r="AF2063" s="367">
        <f t="shared" si="32"/>
        <v>41852</v>
      </c>
      <c r="AG2063" s="368">
        <v>41873</v>
      </c>
      <c r="AH2063" s="369">
        <v>1919.84</v>
      </c>
    </row>
    <row r="2064" spans="32:34">
      <c r="AF2064" s="367">
        <f t="shared" si="32"/>
        <v>41852</v>
      </c>
      <c r="AG2064" s="368">
        <v>41874</v>
      </c>
      <c r="AH2064" s="369">
        <v>1924.4</v>
      </c>
    </row>
    <row r="2065" spans="32:34">
      <c r="AF2065" s="367">
        <f t="shared" si="32"/>
        <v>41852</v>
      </c>
      <c r="AG2065" s="368">
        <v>41875</v>
      </c>
      <c r="AH2065" s="369">
        <v>1924.4</v>
      </c>
    </row>
    <row r="2066" spans="32:34">
      <c r="AF2066" s="367">
        <f t="shared" si="32"/>
        <v>41852</v>
      </c>
      <c r="AG2066" s="368">
        <v>41876</v>
      </c>
      <c r="AH2066" s="369">
        <v>1924.4</v>
      </c>
    </row>
    <row r="2067" spans="32:34">
      <c r="AF2067" s="367">
        <f t="shared" si="32"/>
        <v>41852</v>
      </c>
      <c r="AG2067" s="368">
        <v>41877</v>
      </c>
      <c r="AH2067" s="369">
        <v>1932.39</v>
      </c>
    </row>
    <row r="2068" spans="32:34">
      <c r="AF2068" s="367">
        <f t="shared" si="32"/>
        <v>41852</v>
      </c>
      <c r="AG2068" s="368">
        <v>41878</v>
      </c>
      <c r="AH2068" s="369">
        <v>1928.67</v>
      </c>
    </row>
    <row r="2069" spans="32:34">
      <c r="AF2069" s="367">
        <f t="shared" si="32"/>
        <v>41852</v>
      </c>
      <c r="AG2069" s="368">
        <v>41879</v>
      </c>
      <c r="AH2069" s="369">
        <v>1926.92</v>
      </c>
    </row>
    <row r="2070" spans="32:34">
      <c r="AF2070" s="367">
        <f t="shared" si="32"/>
        <v>41852</v>
      </c>
      <c r="AG2070" s="368">
        <v>41880</v>
      </c>
      <c r="AH2070" s="369">
        <v>1935.04</v>
      </c>
    </row>
    <row r="2071" spans="32:34">
      <c r="AF2071" s="367">
        <f t="shared" si="32"/>
        <v>41852</v>
      </c>
      <c r="AG2071" s="368">
        <v>41881</v>
      </c>
      <c r="AH2071" s="369">
        <v>1918.62</v>
      </c>
    </row>
    <row r="2072" spans="32:34">
      <c r="AF2072" s="367">
        <f t="shared" si="32"/>
        <v>41852</v>
      </c>
      <c r="AG2072" s="368">
        <v>41882</v>
      </c>
      <c r="AH2072" s="369">
        <v>1918.62</v>
      </c>
    </row>
    <row r="2073" spans="32:34">
      <c r="AF2073" s="367">
        <f t="shared" si="32"/>
        <v>41883</v>
      </c>
      <c r="AG2073" s="368">
        <v>41883</v>
      </c>
      <c r="AH2073" s="369">
        <v>1918.62</v>
      </c>
    </row>
    <row r="2074" spans="32:34">
      <c r="AF2074" s="367">
        <f t="shared" si="32"/>
        <v>41883</v>
      </c>
      <c r="AG2074" s="368">
        <v>41884</v>
      </c>
      <c r="AH2074" s="369">
        <v>1918.62</v>
      </c>
    </row>
    <row r="2075" spans="32:34">
      <c r="AF2075" s="367">
        <f t="shared" si="32"/>
        <v>41883</v>
      </c>
      <c r="AG2075" s="368">
        <v>41885</v>
      </c>
      <c r="AH2075" s="369">
        <v>1931.49</v>
      </c>
    </row>
    <row r="2076" spans="32:34">
      <c r="AF2076" s="367">
        <f t="shared" si="32"/>
        <v>41883</v>
      </c>
      <c r="AG2076" s="368">
        <v>41886</v>
      </c>
      <c r="AH2076" s="369">
        <v>1924.67</v>
      </c>
    </row>
    <row r="2077" spans="32:34">
      <c r="AF2077" s="367">
        <f t="shared" si="32"/>
        <v>41883</v>
      </c>
      <c r="AG2077" s="368">
        <v>41887</v>
      </c>
      <c r="AH2077" s="369">
        <v>1931.45</v>
      </c>
    </row>
    <row r="2078" spans="32:34">
      <c r="AF2078" s="367">
        <f t="shared" si="32"/>
        <v>41883</v>
      </c>
      <c r="AG2078" s="368">
        <v>41888</v>
      </c>
      <c r="AH2078" s="369">
        <v>1935.25</v>
      </c>
    </row>
    <row r="2079" spans="32:34">
      <c r="AF2079" s="367">
        <f t="shared" si="32"/>
        <v>41883</v>
      </c>
      <c r="AG2079" s="368">
        <v>41889</v>
      </c>
      <c r="AH2079" s="369">
        <v>1935.25</v>
      </c>
    </row>
    <row r="2080" spans="32:34">
      <c r="AF2080" s="367">
        <f t="shared" si="32"/>
        <v>41883</v>
      </c>
      <c r="AG2080" s="368">
        <v>41890</v>
      </c>
      <c r="AH2080" s="369">
        <v>1935.25</v>
      </c>
    </row>
    <row r="2081" spans="32:34">
      <c r="AF2081" s="367">
        <f t="shared" si="32"/>
        <v>41883</v>
      </c>
      <c r="AG2081" s="368">
        <v>41891</v>
      </c>
      <c r="AH2081" s="369">
        <v>1942.03</v>
      </c>
    </row>
    <row r="2082" spans="32:34">
      <c r="AF2082" s="367">
        <f t="shared" si="32"/>
        <v>41883</v>
      </c>
      <c r="AG2082" s="368">
        <v>41892</v>
      </c>
      <c r="AH2082" s="369">
        <v>1962.84</v>
      </c>
    </row>
    <row r="2083" spans="32:34">
      <c r="AF2083" s="367">
        <f t="shared" si="32"/>
        <v>41883</v>
      </c>
      <c r="AG2083" s="368">
        <v>41893</v>
      </c>
      <c r="AH2083" s="369">
        <v>1975.82</v>
      </c>
    </row>
    <row r="2084" spans="32:34">
      <c r="AF2084" s="367">
        <f t="shared" si="32"/>
        <v>41883</v>
      </c>
      <c r="AG2084" s="368">
        <v>41894</v>
      </c>
      <c r="AH2084" s="369">
        <v>1979.97</v>
      </c>
    </row>
    <row r="2085" spans="32:34">
      <c r="AF2085" s="367">
        <f t="shared" si="32"/>
        <v>41883</v>
      </c>
      <c r="AG2085" s="368">
        <v>41895</v>
      </c>
      <c r="AH2085" s="369">
        <v>1994.97</v>
      </c>
    </row>
    <row r="2086" spans="32:34">
      <c r="AF2086" s="367">
        <f t="shared" si="32"/>
        <v>41883</v>
      </c>
      <c r="AG2086" s="368">
        <v>41896</v>
      </c>
      <c r="AH2086" s="369">
        <v>1994.97</v>
      </c>
    </row>
    <row r="2087" spans="32:34">
      <c r="AF2087" s="367">
        <f t="shared" si="32"/>
        <v>41883</v>
      </c>
      <c r="AG2087" s="368">
        <v>41897</v>
      </c>
      <c r="AH2087" s="369">
        <v>1994.97</v>
      </c>
    </row>
    <row r="2088" spans="32:34">
      <c r="AF2088" s="367">
        <f t="shared" si="32"/>
        <v>41883</v>
      </c>
      <c r="AG2088" s="368">
        <v>41898</v>
      </c>
      <c r="AH2088" s="369">
        <v>1987.71</v>
      </c>
    </row>
    <row r="2089" spans="32:34">
      <c r="AF2089" s="367">
        <f t="shared" si="32"/>
        <v>41883</v>
      </c>
      <c r="AG2089" s="368">
        <v>41899</v>
      </c>
      <c r="AH2089" s="369">
        <v>1978.08</v>
      </c>
    </row>
    <row r="2090" spans="32:34">
      <c r="AF2090" s="367">
        <f t="shared" si="32"/>
        <v>41883</v>
      </c>
      <c r="AG2090" s="368">
        <v>41900</v>
      </c>
      <c r="AH2090" s="369">
        <v>1975.47</v>
      </c>
    </row>
    <row r="2091" spans="32:34">
      <c r="AF2091" s="367">
        <f t="shared" si="32"/>
        <v>41883</v>
      </c>
      <c r="AG2091" s="368">
        <v>41901</v>
      </c>
      <c r="AH2091" s="369">
        <v>1975.42</v>
      </c>
    </row>
    <row r="2092" spans="32:34">
      <c r="AF2092" s="367">
        <f t="shared" si="32"/>
        <v>41883</v>
      </c>
      <c r="AG2092" s="368">
        <v>41902</v>
      </c>
      <c r="AH2092" s="369">
        <v>1966.89</v>
      </c>
    </row>
    <row r="2093" spans="32:34">
      <c r="AF2093" s="367">
        <f t="shared" si="32"/>
        <v>41883</v>
      </c>
      <c r="AG2093" s="368">
        <v>41903</v>
      </c>
      <c r="AH2093" s="369">
        <v>1966.89</v>
      </c>
    </row>
    <row r="2094" spans="32:34">
      <c r="AF2094" s="367">
        <f t="shared" si="32"/>
        <v>41883</v>
      </c>
      <c r="AG2094" s="368">
        <v>41904</v>
      </c>
      <c r="AH2094" s="369">
        <v>1966.89</v>
      </c>
    </row>
    <row r="2095" spans="32:34">
      <c r="AF2095" s="367">
        <f t="shared" si="32"/>
        <v>41883</v>
      </c>
      <c r="AG2095" s="368">
        <v>41905</v>
      </c>
      <c r="AH2095" s="369">
        <v>1992.68</v>
      </c>
    </row>
    <row r="2096" spans="32:34">
      <c r="AF2096" s="367">
        <f t="shared" si="32"/>
        <v>41883</v>
      </c>
      <c r="AG2096" s="368">
        <v>41906</v>
      </c>
      <c r="AH2096" s="369">
        <v>1997.91</v>
      </c>
    </row>
    <row r="2097" spans="32:34">
      <c r="AF2097" s="367">
        <f t="shared" si="32"/>
        <v>41883</v>
      </c>
      <c r="AG2097" s="368">
        <v>41907</v>
      </c>
      <c r="AH2097" s="369">
        <v>2007.48</v>
      </c>
    </row>
    <row r="2098" spans="32:34">
      <c r="AF2098" s="367">
        <f t="shared" si="32"/>
        <v>41883</v>
      </c>
      <c r="AG2098" s="368">
        <v>41908</v>
      </c>
      <c r="AH2098" s="369">
        <v>2019.76</v>
      </c>
    </row>
    <row r="2099" spans="32:34">
      <c r="AF2099" s="367">
        <f t="shared" si="32"/>
        <v>41883</v>
      </c>
      <c r="AG2099" s="368">
        <v>41909</v>
      </c>
      <c r="AH2099" s="369">
        <v>2023.89</v>
      </c>
    </row>
    <row r="2100" spans="32:34">
      <c r="AF2100" s="367">
        <f t="shared" si="32"/>
        <v>41883</v>
      </c>
      <c r="AG2100" s="368">
        <v>41910</v>
      </c>
      <c r="AH2100" s="369">
        <v>2023.89</v>
      </c>
    </row>
    <row r="2101" spans="32:34">
      <c r="AF2101" s="367">
        <f t="shared" si="32"/>
        <v>41883</v>
      </c>
      <c r="AG2101" s="368">
        <v>41911</v>
      </c>
      <c r="AH2101" s="369">
        <v>2023.89</v>
      </c>
    </row>
    <row r="2102" spans="32:34">
      <c r="AF2102" s="367">
        <f t="shared" si="32"/>
        <v>41883</v>
      </c>
      <c r="AG2102" s="368">
        <v>41912</v>
      </c>
      <c r="AH2102" s="369">
        <v>2028.48</v>
      </c>
    </row>
    <row r="2103" spans="32:34">
      <c r="AF2103" s="367">
        <f t="shared" si="32"/>
        <v>41913</v>
      </c>
      <c r="AG2103" s="368">
        <v>41913</v>
      </c>
      <c r="AH2103" s="369">
        <v>2022</v>
      </c>
    </row>
    <row r="2104" spans="32:34">
      <c r="AF2104" s="367">
        <f t="shared" si="32"/>
        <v>41913</v>
      </c>
      <c r="AG2104" s="368">
        <v>41914</v>
      </c>
      <c r="AH2104" s="369">
        <v>2025.75</v>
      </c>
    </row>
    <row r="2105" spans="32:34">
      <c r="AF2105" s="367">
        <f t="shared" si="32"/>
        <v>41913</v>
      </c>
      <c r="AG2105" s="368">
        <v>41915</v>
      </c>
      <c r="AH2105" s="369">
        <v>2021.49</v>
      </c>
    </row>
    <row r="2106" spans="32:34">
      <c r="AF2106" s="367">
        <f t="shared" si="32"/>
        <v>41913</v>
      </c>
      <c r="AG2106" s="368">
        <v>41916</v>
      </c>
      <c r="AH2106" s="369">
        <v>2026.2</v>
      </c>
    </row>
    <row r="2107" spans="32:34">
      <c r="AF2107" s="367">
        <f t="shared" si="32"/>
        <v>41913</v>
      </c>
      <c r="AG2107" s="368">
        <v>41917</v>
      </c>
      <c r="AH2107" s="369">
        <v>2026.2</v>
      </c>
    </row>
    <row r="2108" spans="32:34">
      <c r="AF2108" s="367">
        <f t="shared" si="32"/>
        <v>41913</v>
      </c>
      <c r="AG2108" s="368">
        <v>41918</v>
      </c>
      <c r="AH2108" s="369">
        <v>2026.2</v>
      </c>
    </row>
    <row r="2109" spans="32:34">
      <c r="AF2109" s="367">
        <f t="shared" si="32"/>
        <v>41913</v>
      </c>
      <c r="AG2109" s="368">
        <v>41919</v>
      </c>
      <c r="AH2109" s="369">
        <v>2028.03</v>
      </c>
    </row>
    <row r="2110" spans="32:34">
      <c r="AF2110" s="367">
        <f t="shared" si="32"/>
        <v>41913</v>
      </c>
      <c r="AG2110" s="368">
        <v>41920</v>
      </c>
      <c r="AH2110" s="369">
        <v>2026.9</v>
      </c>
    </row>
    <row r="2111" spans="32:34">
      <c r="AF2111" s="367">
        <f t="shared" si="32"/>
        <v>41913</v>
      </c>
      <c r="AG2111" s="368">
        <v>41921</v>
      </c>
      <c r="AH2111" s="369">
        <v>2040.31</v>
      </c>
    </row>
    <row r="2112" spans="32:34">
      <c r="AF2112" s="367">
        <f t="shared" si="32"/>
        <v>41913</v>
      </c>
      <c r="AG2112" s="368">
        <v>41922</v>
      </c>
      <c r="AH2112" s="369">
        <v>2041.71</v>
      </c>
    </row>
    <row r="2113" spans="32:34">
      <c r="AF2113" s="367">
        <f t="shared" si="32"/>
        <v>41913</v>
      </c>
      <c r="AG2113" s="368">
        <v>41923</v>
      </c>
      <c r="AH2113" s="369">
        <v>2052.96</v>
      </c>
    </row>
    <row r="2114" spans="32:34">
      <c r="AF2114" s="367">
        <f t="shared" si="32"/>
        <v>41913</v>
      </c>
      <c r="AG2114" s="368">
        <v>41924</v>
      </c>
      <c r="AH2114" s="369">
        <v>2052.96</v>
      </c>
    </row>
    <row r="2115" spans="32:34">
      <c r="AF2115" s="367">
        <f t="shared" si="32"/>
        <v>41913</v>
      </c>
      <c r="AG2115" s="368">
        <v>41925</v>
      </c>
      <c r="AH2115" s="369">
        <v>2052.96</v>
      </c>
    </row>
    <row r="2116" spans="32:34">
      <c r="AF2116" s="367">
        <f t="shared" ref="AF2116:AF2179" si="33">+DATE(YEAR(AG2116),MONTH(AG2116),1)</f>
        <v>41913</v>
      </c>
      <c r="AG2116" s="368">
        <v>41926</v>
      </c>
      <c r="AH2116" s="369">
        <v>2052.96</v>
      </c>
    </row>
    <row r="2117" spans="32:34">
      <c r="AF2117" s="367">
        <f t="shared" si="33"/>
        <v>41913</v>
      </c>
      <c r="AG2117" s="368">
        <v>41927</v>
      </c>
      <c r="AH2117" s="369">
        <v>2049.66</v>
      </c>
    </row>
    <row r="2118" spans="32:34">
      <c r="AF2118" s="367">
        <f t="shared" si="33"/>
        <v>41913</v>
      </c>
      <c r="AG2118" s="368">
        <v>41928</v>
      </c>
      <c r="AH2118" s="369">
        <v>2057.6999999999998</v>
      </c>
    </row>
    <row r="2119" spans="32:34">
      <c r="AF2119" s="367">
        <f t="shared" si="33"/>
        <v>41913</v>
      </c>
      <c r="AG2119" s="368">
        <v>41929</v>
      </c>
      <c r="AH2119" s="369">
        <v>2074.4</v>
      </c>
    </row>
    <row r="2120" spans="32:34">
      <c r="AF2120" s="367">
        <f t="shared" si="33"/>
        <v>41913</v>
      </c>
      <c r="AG2120" s="368">
        <v>41930</v>
      </c>
      <c r="AH2120" s="369">
        <v>2064.4299999999998</v>
      </c>
    </row>
    <row r="2121" spans="32:34">
      <c r="AF2121" s="367">
        <f t="shared" si="33"/>
        <v>41913</v>
      </c>
      <c r="AG2121" s="368">
        <v>41931</v>
      </c>
      <c r="AH2121" s="369">
        <v>2064.4299999999998</v>
      </c>
    </row>
    <row r="2122" spans="32:34">
      <c r="AF2122" s="367">
        <f t="shared" si="33"/>
        <v>41913</v>
      </c>
      <c r="AG2122" s="368">
        <v>41932</v>
      </c>
      <c r="AH2122" s="369">
        <v>2064.4299999999998</v>
      </c>
    </row>
    <row r="2123" spans="32:34">
      <c r="AF2123" s="367">
        <f t="shared" si="33"/>
        <v>41913</v>
      </c>
      <c r="AG2123" s="368">
        <v>41933</v>
      </c>
      <c r="AH2123" s="369">
        <v>2065.8200000000002</v>
      </c>
    </row>
    <row r="2124" spans="32:34">
      <c r="AF2124" s="367">
        <f t="shared" si="33"/>
        <v>41913</v>
      </c>
      <c r="AG2124" s="368">
        <v>41934</v>
      </c>
      <c r="AH2124" s="369">
        <v>2048.44</v>
      </c>
    </row>
    <row r="2125" spans="32:34">
      <c r="AF2125" s="367">
        <f t="shared" si="33"/>
        <v>41913</v>
      </c>
      <c r="AG2125" s="368">
        <v>41935</v>
      </c>
      <c r="AH2125" s="369">
        <v>2049.9</v>
      </c>
    </row>
    <row r="2126" spans="32:34">
      <c r="AF2126" s="367">
        <f t="shared" si="33"/>
        <v>41913</v>
      </c>
      <c r="AG2126" s="368">
        <v>41936</v>
      </c>
      <c r="AH2126" s="369">
        <v>2053.39</v>
      </c>
    </row>
    <row r="2127" spans="32:34">
      <c r="AF2127" s="367">
        <f t="shared" si="33"/>
        <v>41913</v>
      </c>
      <c r="AG2127" s="368">
        <v>41937</v>
      </c>
      <c r="AH2127" s="369">
        <v>2065.38</v>
      </c>
    </row>
    <row r="2128" spans="32:34">
      <c r="AF2128" s="367">
        <f t="shared" si="33"/>
        <v>41913</v>
      </c>
      <c r="AG2128" s="368">
        <v>41938</v>
      </c>
      <c r="AH2128" s="369">
        <v>2065.38</v>
      </c>
    </row>
    <row r="2129" spans="32:34">
      <c r="AF2129" s="367">
        <f t="shared" si="33"/>
        <v>41913</v>
      </c>
      <c r="AG2129" s="368">
        <v>41939</v>
      </c>
      <c r="AH2129" s="369">
        <v>2065.38</v>
      </c>
    </row>
    <row r="2130" spans="32:34">
      <c r="AF2130" s="367">
        <f t="shared" si="33"/>
        <v>41913</v>
      </c>
      <c r="AG2130" s="368">
        <v>41940</v>
      </c>
      <c r="AH2130" s="369">
        <v>2069.7199999999998</v>
      </c>
    </row>
    <row r="2131" spans="32:34">
      <c r="AF2131" s="367">
        <f t="shared" si="33"/>
        <v>41913</v>
      </c>
      <c r="AG2131" s="368">
        <v>41941</v>
      </c>
      <c r="AH2131" s="369">
        <v>2055.4299999999998</v>
      </c>
    </row>
    <row r="2132" spans="32:34">
      <c r="AF2132" s="367">
        <f t="shared" si="33"/>
        <v>41913</v>
      </c>
      <c r="AG2132" s="368">
        <v>41942</v>
      </c>
      <c r="AH2132" s="369">
        <v>2044.55</v>
      </c>
    </row>
    <row r="2133" spans="32:34">
      <c r="AF2133" s="367">
        <f t="shared" si="33"/>
        <v>41913</v>
      </c>
      <c r="AG2133" s="368">
        <v>41943</v>
      </c>
      <c r="AH2133" s="369">
        <v>2050.52</v>
      </c>
    </row>
    <row r="2134" spans="32:34">
      <c r="AF2134" s="367">
        <f t="shared" si="33"/>
        <v>41944</v>
      </c>
      <c r="AG2134" s="368">
        <v>41944</v>
      </c>
      <c r="AH2134" s="369">
        <v>2061.92</v>
      </c>
    </row>
    <row r="2135" spans="32:34">
      <c r="AF2135" s="367">
        <f t="shared" si="33"/>
        <v>41944</v>
      </c>
      <c r="AG2135" s="368">
        <v>41945</v>
      </c>
      <c r="AH2135" s="369">
        <v>2061.92</v>
      </c>
    </row>
    <row r="2136" spans="32:34">
      <c r="AF2136" s="367">
        <f t="shared" si="33"/>
        <v>41944</v>
      </c>
      <c r="AG2136" s="368">
        <v>41946</v>
      </c>
      <c r="AH2136" s="369">
        <v>2061.92</v>
      </c>
    </row>
    <row r="2137" spans="32:34">
      <c r="AF2137" s="367">
        <f t="shared" si="33"/>
        <v>41944</v>
      </c>
      <c r="AG2137" s="368">
        <v>41947</v>
      </c>
      <c r="AH2137" s="369">
        <v>2061.92</v>
      </c>
    </row>
    <row r="2138" spans="32:34">
      <c r="AF2138" s="367">
        <f t="shared" si="33"/>
        <v>41944</v>
      </c>
      <c r="AG2138" s="368">
        <v>41948</v>
      </c>
      <c r="AH2138" s="369">
        <v>2076.9899999999998</v>
      </c>
    </row>
    <row r="2139" spans="32:34">
      <c r="AF2139" s="367">
        <f t="shared" si="33"/>
        <v>41944</v>
      </c>
      <c r="AG2139" s="368">
        <v>41949</v>
      </c>
      <c r="AH2139" s="369">
        <v>2081.2399999999998</v>
      </c>
    </row>
    <row r="2140" spans="32:34">
      <c r="AF2140" s="367">
        <f t="shared" si="33"/>
        <v>41944</v>
      </c>
      <c r="AG2140" s="368">
        <v>41950</v>
      </c>
      <c r="AH2140" s="369">
        <v>2086.86</v>
      </c>
    </row>
    <row r="2141" spans="32:34">
      <c r="AF2141" s="367">
        <f t="shared" si="33"/>
        <v>41944</v>
      </c>
      <c r="AG2141" s="368">
        <v>41951</v>
      </c>
      <c r="AH2141" s="369">
        <v>2103.25</v>
      </c>
    </row>
    <row r="2142" spans="32:34">
      <c r="AF2142" s="367">
        <f t="shared" si="33"/>
        <v>41944</v>
      </c>
      <c r="AG2142" s="368">
        <v>41952</v>
      </c>
      <c r="AH2142" s="369">
        <v>2103.25</v>
      </c>
    </row>
    <row r="2143" spans="32:34">
      <c r="AF2143" s="367">
        <f t="shared" si="33"/>
        <v>41944</v>
      </c>
      <c r="AG2143" s="368">
        <v>41953</v>
      </c>
      <c r="AH2143" s="369">
        <v>2103.25</v>
      </c>
    </row>
    <row r="2144" spans="32:34">
      <c r="AF2144" s="367">
        <f t="shared" si="33"/>
        <v>41944</v>
      </c>
      <c r="AG2144" s="368">
        <v>41954</v>
      </c>
      <c r="AH2144" s="369">
        <v>2103.12</v>
      </c>
    </row>
    <row r="2145" spans="32:34">
      <c r="AF2145" s="367">
        <f t="shared" si="33"/>
        <v>41944</v>
      </c>
      <c r="AG2145" s="368">
        <v>41955</v>
      </c>
      <c r="AH2145" s="369">
        <v>2103.12</v>
      </c>
    </row>
    <row r="2146" spans="32:34">
      <c r="AF2146" s="367">
        <f t="shared" si="33"/>
        <v>41944</v>
      </c>
      <c r="AG2146" s="368">
        <v>41956</v>
      </c>
      <c r="AH2146" s="369">
        <v>2115.59</v>
      </c>
    </row>
    <row r="2147" spans="32:34">
      <c r="AF2147" s="367">
        <f t="shared" si="33"/>
        <v>41944</v>
      </c>
      <c r="AG2147" s="368">
        <v>41957</v>
      </c>
      <c r="AH2147" s="369">
        <v>2133.0300000000002</v>
      </c>
    </row>
    <row r="2148" spans="32:34">
      <c r="AF2148" s="367">
        <f t="shared" si="33"/>
        <v>41944</v>
      </c>
      <c r="AG2148" s="368">
        <v>41958</v>
      </c>
      <c r="AH2148" s="369">
        <v>2160.4699999999998</v>
      </c>
    </row>
    <row r="2149" spans="32:34">
      <c r="AF2149" s="367">
        <f t="shared" si="33"/>
        <v>41944</v>
      </c>
      <c r="AG2149" s="368">
        <v>41959</v>
      </c>
      <c r="AH2149" s="369">
        <v>2160.4699999999998</v>
      </c>
    </row>
    <row r="2150" spans="32:34">
      <c r="AF2150" s="367">
        <f t="shared" si="33"/>
        <v>41944</v>
      </c>
      <c r="AG2150" s="368">
        <v>41960</v>
      </c>
      <c r="AH2150" s="369">
        <v>2160.4699999999998</v>
      </c>
    </row>
    <row r="2151" spans="32:34">
      <c r="AF2151" s="367">
        <f t="shared" si="33"/>
        <v>41944</v>
      </c>
      <c r="AG2151" s="368">
        <v>41961</v>
      </c>
      <c r="AH2151" s="369">
        <v>2160.4699999999998</v>
      </c>
    </row>
    <row r="2152" spans="32:34">
      <c r="AF2152" s="367">
        <f t="shared" si="33"/>
        <v>41944</v>
      </c>
      <c r="AG2152" s="368">
        <v>41962</v>
      </c>
      <c r="AH2152" s="369">
        <v>2158.58</v>
      </c>
    </row>
    <row r="2153" spans="32:34">
      <c r="AF2153" s="367">
        <f t="shared" si="33"/>
        <v>41944</v>
      </c>
      <c r="AG2153" s="368">
        <v>41963</v>
      </c>
      <c r="AH2153" s="369">
        <v>2156.73</v>
      </c>
    </row>
    <row r="2154" spans="32:34">
      <c r="AF2154" s="367">
        <f t="shared" si="33"/>
        <v>41944</v>
      </c>
      <c r="AG2154" s="368">
        <v>41964</v>
      </c>
      <c r="AH2154" s="369">
        <v>2156.9299999999998</v>
      </c>
    </row>
    <row r="2155" spans="32:34">
      <c r="AF2155" s="367">
        <f t="shared" si="33"/>
        <v>41944</v>
      </c>
      <c r="AG2155" s="368">
        <v>41965</v>
      </c>
      <c r="AH2155" s="369">
        <v>2142.02</v>
      </c>
    </row>
    <row r="2156" spans="32:34">
      <c r="AF2156" s="367">
        <f t="shared" si="33"/>
        <v>41944</v>
      </c>
      <c r="AG2156" s="368">
        <v>41966</v>
      </c>
      <c r="AH2156" s="369">
        <v>2142.02</v>
      </c>
    </row>
    <row r="2157" spans="32:34">
      <c r="AF2157" s="367">
        <f t="shared" si="33"/>
        <v>41944</v>
      </c>
      <c r="AG2157" s="368">
        <v>41967</v>
      </c>
      <c r="AH2157" s="369">
        <v>2142.02</v>
      </c>
    </row>
    <row r="2158" spans="32:34">
      <c r="AF2158" s="367">
        <f t="shared" si="33"/>
        <v>41944</v>
      </c>
      <c r="AG2158" s="368">
        <v>41968</v>
      </c>
      <c r="AH2158" s="369">
        <v>2158.12</v>
      </c>
    </row>
    <row r="2159" spans="32:34">
      <c r="AF2159" s="367">
        <f t="shared" si="33"/>
        <v>41944</v>
      </c>
      <c r="AG2159" s="368">
        <v>41969</v>
      </c>
      <c r="AH2159" s="369">
        <v>2162.15</v>
      </c>
    </row>
    <row r="2160" spans="32:34">
      <c r="AF2160" s="367">
        <f t="shared" si="33"/>
        <v>41944</v>
      </c>
      <c r="AG2160" s="368">
        <v>41970</v>
      </c>
      <c r="AH2160" s="369">
        <v>2165.15</v>
      </c>
    </row>
    <row r="2161" spans="32:34">
      <c r="AF2161" s="367">
        <f t="shared" si="33"/>
        <v>41944</v>
      </c>
      <c r="AG2161" s="368">
        <v>41971</v>
      </c>
      <c r="AH2161" s="369">
        <v>2165.15</v>
      </c>
    </row>
    <row r="2162" spans="32:34">
      <c r="AF2162" s="367">
        <f t="shared" si="33"/>
        <v>41944</v>
      </c>
      <c r="AG2162" s="368">
        <v>41972</v>
      </c>
      <c r="AH2162" s="369">
        <v>2206.19</v>
      </c>
    </row>
    <row r="2163" spans="32:34">
      <c r="AF2163" s="367">
        <f t="shared" si="33"/>
        <v>41944</v>
      </c>
      <c r="AG2163" s="368">
        <v>41973</v>
      </c>
      <c r="AH2163" s="369">
        <v>2206.19</v>
      </c>
    </row>
    <row r="2164" spans="32:34">
      <c r="AF2164" s="367">
        <f t="shared" si="33"/>
        <v>41974</v>
      </c>
      <c r="AG2164" s="368">
        <v>41974</v>
      </c>
      <c r="AH2164" s="369">
        <v>2206.19</v>
      </c>
    </row>
    <row r="2165" spans="32:34">
      <c r="AF2165" s="367">
        <f t="shared" si="33"/>
        <v>41974</v>
      </c>
      <c r="AG2165" s="368">
        <v>41975</v>
      </c>
      <c r="AH2165" s="369">
        <v>2252.36</v>
      </c>
    </row>
    <row r="2166" spans="32:34">
      <c r="AF2166" s="367">
        <f t="shared" si="33"/>
        <v>41974</v>
      </c>
      <c r="AG2166" s="368">
        <v>41976</v>
      </c>
      <c r="AH2166" s="369">
        <v>2293.4699999999998</v>
      </c>
    </row>
    <row r="2167" spans="32:34">
      <c r="AF2167" s="367">
        <f t="shared" si="33"/>
        <v>41974</v>
      </c>
      <c r="AG2167" s="368">
        <v>41977</v>
      </c>
      <c r="AH2167" s="369">
        <v>2286.0300000000002</v>
      </c>
    </row>
    <row r="2168" spans="32:34">
      <c r="AF2168" s="367">
        <f t="shared" si="33"/>
        <v>41974</v>
      </c>
      <c r="AG2168" s="368">
        <v>41978</v>
      </c>
      <c r="AH2168" s="369">
        <v>2284.2399999999998</v>
      </c>
    </row>
    <row r="2169" spans="32:34">
      <c r="AF2169" s="367">
        <f t="shared" si="33"/>
        <v>41974</v>
      </c>
      <c r="AG2169" s="368">
        <v>41979</v>
      </c>
      <c r="AH2169" s="369">
        <v>2304.12</v>
      </c>
    </row>
    <row r="2170" spans="32:34">
      <c r="AF2170" s="367">
        <f t="shared" si="33"/>
        <v>41974</v>
      </c>
      <c r="AG2170" s="368">
        <v>41980</v>
      </c>
      <c r="AH2170" s="369">
        <v>2304.12</v>
      </c>
    </row>
    <row r="2171" spans="32:34">
      <c r="AF2171" s="367">
        <f t="shared" si="33"/>
        <v>41974</v>
      </c>
      <c r="AG2171" s="368">
        <v>41981</v>
      </c>
      <c r="AH2171" s="369">
        <v>2304.12</v>
      </c>
    </row>
    <row r="2172" spans="32:34">
      <c r="AF2172" s="367">
        <f t="shared" si="33"/>
        <v>41974</v>
      </c>
      <c r="AG2172" s="368">
        <v>41982</v>
      </c>
      <c r="AH2172" s="369">
        <v>2304.12</v>
      </c>
    </row>
    <row r="2173" spans="32:34">
      <c r="AF2173" s="367">
        <f t="shared" si="33"/>
        <v>41974</v>
      </c>
      <c r="AG2173" s="368">
        <v>41983</v>
      </c>
      <c r="AH2173" s="369">
        <v>2350.0100000000002</v>
      </c>
    </row>
    <row r="2174" spans="32:34">
      <c r="AF2174" s="367">
        <f t="shared" si="33"/>
        <v>41974</v>
      </c>
      <c r="AG2174" s="368">
        <v>41984</v>
      </c>
      <c r="AH2174" s="369">
        <v>2381.96</v>
      </c>
    </row>
    <row r="2175" spans="32:34">
      <c r="AF2175" s="367">
        <f t="shared" si="33"/>
        <v>41974</v>
      </c>
      <c r="AG2175" s="368">
        <v>41985</v>
      </c>
      <c r="AH2175" s="369">
        <v>2423.56</v>
      </c>
    </row>
    <row r="2176" spans="32:34">
      <c r="AF2176" s="367">
        <f t="shared" si="33"/>
        <v>41974</v>
      </c>
      <c r="AG2176" s="368">
        <v>41986</v>
      </c>
      <c r="AH2176" s="369">
        <v>2405.31</v>
      </c>
    </row>
    <row r="2177" spans="32:34">
      <c r="AF2177" s="367">
        <f t="shared" si="33"/>
        <v>41974</v>
      </c>
      <c r="AG2177" s="368">
        <v>41987</v>
      </c>
      <c r="AH2177" s="369">
        <v>2405.31</v>
      </c>
    </row>
    <row r="2178" spans="32:34">
      <c r="AF2178" s="367">
        <f t="shared" si="33"/>
        <v>41974</v>
      </c>
      <c r="AG2178" s="368">
        <v>41988</v>
      </c>
      <c r="AH2178" s="369">
        <v>2405.31</v>
      </c>
    </row>
    <row r="2179" spans="32:34">
      <c r="AF2179" s="367">
        <f t="shared" si="33"/>
        <v>41974</v>
      </c>
      <c r="AG2179" s="368">
        <v>41989</v>
      </c>
      <c r="AH2179" s="369">
        <v>2414.39</v>
      </c>
    </row>
    <row r="2180" spans="32:34">
      <c r="AF2180" s="367">
        <f t="shared" ref="AF2180:AF2243" si="34">+DATE(YEAR(AG2180),MONTH(AG2180),1)</f>
        <v>41974</v>
      </c>
      <c r="AG2180" s="368">
        <v>41990</v>
      </c>
      <c r="AH2180" s="369">
        <v>2446.35</v>
      </c>
    </row>
    <row r="2181" spans="32:34">
      <c r="AF2181" s="367">
        <f t="shared" si="34"/>
        <v>41974</v>
      </c>
      <c r="AG2181" s="368">
        <v>41991</v>
      </c>
      <c r="AH2181" s="369">
        <v>2412.79</v>
      </c>
    </row>
    <row r="2182" spans="32:34">
      <c r="AF2182" s="367">
        <f t="shared" si="34"/>
        <v>41974</v>
      </c>
      <c r="AG2182" s="368">
        <v>41992</v>
      </c>
      <c r="AH2182" s="369">
        <v>2334.98</v>
      </c>
    </row>
    <row r="2183" spans="32:34">
      <c r="AF2183" s="367">
        <f t="shared" si="34"/>
        <v>41974</v>
      </c>
      <c r="AG2183" s="368">
        <v>41993</v>
      </c>
      <c r="AH2183" s="369">
        <v>2297.14</v>
      </c>
    </row>
    <row r="2184" spans="32:34">
      <c r="AF2184" s="367">
        <f t="shared" si="34"/>
        <v>41974</v>
      </c>
      <c r="AG2184" s="368">
        <v>41994</v>
      </c>
      <c r="AH2184" s="369">
        <v>2297.14</v>
      </c>
    </row>
    <row r="2185" spans="32:34">
      <c r="AF2185" s="367">
        <f t="shared" si="34"/>
        <v>41974</v>
      </c>
      <c r="AG2185" s="368">
        <v>41995</v>
      </c>
      <c r="AH2185" s="369">
        <v>2297.14</v>
      </c>
    </row>
    <row r="2186" spans="32:34">
      <c r="AF2186" s="367">
        <f t="shared" si="34"/>
        <v>41974</v>
      </c>
      <c r="AG2186" s="368">
        <v>41996</v>
      </c>
      <c r="AH2186" s="369">
        <v>2316.9299999999998</v>
      </c>
    </row>
    <row r="2187" spans="32:34">
      <c r="AF2187" s="367">
        <f t="shared" si="34"/>
        <v>41974</v>
      </c>
      <c r="AG2187" s="368">
        <v>41997</v>
      </c>
      <c r="AH2187" s="369">
        <v>2342.5700000000002</v>
      </c>
    </row>
    <row r="2188" spans="32:34">
      <c r="AF2188" s="367">
        <f t="shared" si="34"/>
        <v>41974</v>
      </c>
      <c r="AG2188" s="368">
        <v>41998</v>
      </c>
      <c r="AH2188" s="369">
        <v>2346.9</v>
      </c>
    </row>
    <row r="2189" spans="32:34">
      <c r="AF2189" s="367">
        <f t="shared" si="34"/>
        <v>41974</v>
      </c>
      <c r="AG2189" s="368">
        <v>41999</v>
      </c>
      <c r="AH2189" s="369">
        <v>2346.9</v>
      </c>
    </row>
    <row r="2190" spans="32:34">
      <c r="AF2190" s="367">
        <f t="shared" si="34"/>
        <v>41974</v>
      </c>
      <c r="AG2190" s="368">
        <v>42000</v>
      </c>
      <c r="AH2190" s="369">
        <v>2358.46</v>
      </c>
    </row>
    <row r="2191" spans="32:34">
      <c r="AF2191" s="367">
        <f t="shared" si="34"/>
        <v>41974</v>
      </c>
      <c r="AG2191" s="368">
        <v>42001</v>
      </c>
      <c r="AH2191" s="369">
        <v>2358.46</v>
      </c>
    </row>
    <row r="2192" spans="32:34">
      <c r="AF2192" s="367">
        <f t="shared" si="34"/>
        <v>41974</v>
      </c>
      <c r="AG2192" s="368">
        <v>42002</v>
      </c>
      <c r="AH2192" s="369">
        <v>2358.46</v>
      </c>
    </row>
    <row r="2193" spans="32:34">
      <c r="AF2193" s="367">
        <f t="shared" si="34"/>
        <v>41974</v>
      </c>
      <c r="AG2193" s="368">
        <v>42003</v>
      </c>
      <c r="AH2193" s="369">
        <v>2378.56</v>
      </c>
    </row>
    <row r="2194" spans="32:34">
      <c r="AF2194" s="367">
        <f t="shared" si="34"/>
        <v>41974</v>
      </c>
      <c r="AG2194" s="368">
        <v>42004</v>
      </c>
      <c r="AH2194" s="369">
        <v>2392.46</v>
      </c>
    </row>
    <row r="2195" spans="32:34">
      <c r="AF2195" s="367">
        <f t="shared" si="34"/>
        <v>42005</v>
      </c>
      <c r="AG2195" s="368">
        <v>42005</v>
      </c>
      <c r="AH2195" s="369">
        <v>2392.46</v>
      </c>
    </row>
    <row r="2196" spans="32:34">
      <c r="AF2196" s="367">
        <f t="shared" si="34"/>
        <v>42005</v>
      </c>
      <c r="AG2196" s="368">
        <v>42006</v>
      </c>
      <c r="AH2196" s="369">
        <v>2392.46</v>
      </c>
    </row>
    <row r="2197" spans="32:34">
      <c r="AF2197" s="367">
        <f t="shared" si="34"/>
        <v>42005</v>
      </c>
      <c r="AG2197" s="368">
        <v>42007</v>
      </c>
      <c r="AH2197" s="369">
        <v>2383.37</v>
      </c>
    </row>
    <row r="2198" spans="32:34">
      <c r="AF2198" s="367">
        <f t="shared" si="34"/>
        <v>42005</v>
      </c>
      <c r="AG2198" s="368">
        <v>42008</v>
      </c>
      <c r="AH2198" s="369">
        <v>2383.37</v>
      </c>
    </row>
    <row r="2199" spans="32:34">
      <c r="AF2199" s="367">
        <f t="shared" si="34"/>
        <v>42005</v>
      </c>
      <c r="AG2199" s="368">
        <v>42009</v>
      </c>
      <c r="AH2199" s="369">
        <v>2383.37</v>
      </c>
    </row>
    <row r="2200" spans="32:34">
      <c r="AF2200" s="367">
        <f t="shared" si="34"/>
        <v>42005</v>
      </c>
      <c r="AG2200" s="368">
        <v>42010</v>
      </c>
      <c r="AH2200" s="369">
        <v>2412.8200000000002</v>
      </c>
    </row>
    <row r="2201" spans="32:34">
      <c r="AF2201" s="367">
        <f t="shared" si="34"/>
        <v>42005</v>
      </c>
      <c r="AG2201" s="368">
        <v>42011</v>
      </c>
      <c r="AH2201" s="369">
        <v>2452.11</v>
      </c>
    </row>
    <row r="2202" spans="32:34">
      <c r="AF2202" s="367">
        <f t="shared" si="34"/>
        <v>42005</v>
      </c>
      <c r="AG2202" s="368">
        <v>42012</v>
      </c>
      <c r="AH2202" s="369">
        <v>2434.31</v>
      </c>
    </row>
    <row r="2203" spans="32:34">
      <c r="AF2203" s="367">
        <f t="shared" si="34"/>
        <v>42005</v>
      </c>
      <c r="AG2203" s="368">
        <v>42013</v>
      </c>
      <c r="AH2203" s="369">
        <v>2405.0300000000002</v>
      </c>
    </row>
    <row r="2204" spans="32:34">
      <c r="AF2204" s="367">
        <f t="shared" si="34"/>
        <v>42005</v>
      </c>
      <c r="AG2204" s="368">
        <v>42014</v>
      </c>
      <c r="AH2204" s="369">
        <v>2406.71</v>
      </c>
    </row>
    <row r="2205" spans="32:34">
      <c r="AF2205" s="367">
        <f t="shared" si="34"/>
        <v>42005</v>
      </c>
      <c r="AG2205" s="368">
        <v>42015</v>
      </c>
      <c r="AH2205" s="369">
        <v>2406.71</v>
      </c>
    </row>
    <row r="2206" spans="32:34">
      <c r="AF2206" s="367">
        <f t="shared" si="34"/>
        <v>42005</v>
      </c>
      <c r="AG2206" s="368">
        <v>42016</v>
      </c>
      <c r="AH2206" s="369">
        <v>2406.71</v>
      </c>
    </row>
    <row r="2207" spans="32:34">
      <c r="AF2207" s="367">
        <f t="shared" si="34"/>
        <v>42005</v>
      </c>
      <c r="AG2207" s="368">
        <v>42017</v>
      </c>
      <c r="AH2207" s="369">
        <v>2406.71</v>
      </c>
    </row>
    <row r="2208" spans="32:34">
      <c r="AF2208" s="367">
        <f t="shared" si="34"/>
        <v>42005</v>
      </c>
      <c r="AG2208" s="368">
        <v>42018</v>
      </c>
      <c r="AH2208" s="369">
        <v>2442.0300000000002</v>
      </c>
    </row>
    <row r="2209" spans="32:34">
      <c r="AF2209" s="367">
        <f t="shared" si="34"/>
        <v>42005</v>
      </c>
      <c r="AG2209" s="368">
        <v>42019</v>
      </c>
      <c r="AH2209" s="369">
        <v>2438.79</v>
      </c>
    </row>
    <row r="2210" spans="32:34">
      <c r="AF2210" s="367">
        <f t="shared" si="34"/>
        <v>42005</v>
      </c>
      <c r="AG2210" s="368">
        <v>42020</v>
      </c>
      <c r="AH2210" s="369">
        <v>2398.91</v>
      </c>
    </row>
    <row r="2211" spans="32:34">
      <c r="AF2211" s="367">
        <f t="shared" si="34"/>
        <v>42005</v>
      </c>
      <c r="AG2211" s="368">
        <v>42021</v>
      </c>
      <c r="AH2211" s="369">
        <v>2383.91</v>
      </c>
    </row>
    <row r="2212" spans="32:34">
      <c r="AF2212" s="367">
        <f t="shared" si="34"/>
        <v>42005</v>
      </c>
      <c r="AG2212" s="368">
        <v>42022</v>
      </c>
      <c r="AH2212" s="369">
        <v>2383.91</v>
      </c>
    </row>
    <row r="2213" spans="32:34">
      <c r="AF2213" s="367">
        <f t="shared" si="34"/>
        <v>42005</v>
      </c>
      <c r="AG2213" s="368">
        <v>42023</v>
      </c>
      <c r="AH2213" s="369">
        <v>2383.91</v>
      </c>
    </row>
    <row r="2214" spans="32:34">
      <c r="AF2214" s="367">
        <f t="shared" si="34"/>
        <v>42005</v>
      </c>
      <c r="AG2214" s="368">
        <v>42024</v>
      </c>
      <c r="AH2214" s="369">
        <v>2383.91</v>
      </c>
    </row>
    <row r="2215" spans="32:34">
      <c r="AF2215" s="367">
        <f t="shared" si="34"/>
        <v>42005</v>
      </c>
      <c r="AG2215" s="368">
        <v>42025</v>
      </c>
      <c r="AH2215" s="369">
        <v>2373.44</v>
      </c>
    </row>
    <row r="2216" spans="32:34">
      <c r="AF2216" s="367">
        <f t="shared" si="34"/>
        <v>42005</v>
      </c>
      <c r="AG2216" s="368">
        <v>42026</v>
      </c>
      <c r="AH2216" s="369">
        <v>2361.54</v>
      </c>
    </row>
    <row r="2217" spans="32:34">
      <c r="AF2217" s="367">
        <f t="shared" si="34"/>
        <v>42005</v>
      </c>
      <c r="AG2217" s="368">
        <v>42027</v>
      </c>
      <c r="AH2217" s="369">
        <v>2370.75</v>
      </c>
    </row>
    <row r="2218" spans="32:34">
      <c r="AF2218" s="367">
        <f t="shared" si="34"/>
        <v>42005</v>
      </c>
      <c r="AG2218" s="368">
        <v>42028</v>
      </c>
      <c r="AH2218" s="369">
        <v>2386.5</v>
      </c>
    </row>
    <row r="2219" spans="32:34">
      <c r="AF2219" s="367">
        <f t="shared" si="34"/>
        <v>42005</v>
      </c>
      <c r="AG2219" s="368">
        <v>42029</v>
      </c>
      <c r="AH2219" s="369">
        <v>2386.5</v>
      </c>
    </row>
    <row r="2220" spans="32:34">
      <c r="AF2220" s="367">
        <f t="shared" si="34"/>
        <v>42005</v>
      </c>
      <c r="AG2220" s="368">
        <v>42030</v>
      </c>
      <c r="AH2220" s="369">
        <v>2386.5</v>
      </c>
    </row>
    <row r="2221" spans="32:34">
      <c r="AF2221" s="367">
        <f t="shared" si="34"/>
        <v>42005</v>
      </c>
      <c r="AG2221" s="368">
        <v>42031</v>
      </c>
      <c r="AH2221" s="369">
        <v>2386.2800000000002</v>
      </c>
    </row>
    <row r="2222" spans="32:34">
      <c r="AF2222" s="367">
        <f t="shared" si="34"/>
        <v>42005</v>
      </c>
      <c r="AG2222" s="368">
        <v>42032</v>
      </c>
      <c r="AH2222" s="369">
        <v>2381.11</v>
      </c>
    </row>
    <row r="2223" spans="32:34">
      <c r="AF2223" s="367">
        <f t="shared" si="34"/>
        <v>42005</v>
      </c>
      <c r="AG2223" s="368">
        <v>42033</v>
      </c>
      <c r="AH2223" s="369">
        <v>2362.42</v>
      </c>
    </row>
    <row r="2224" spans="32:34">
      <c r="AF2224" s="367">
        <f t="shared" si="34"/>
        <v>42005</v>
      </c>
      <c r="AG2224" s="368">
        <v>42034</v>
      </c>
      <c r="AH2224" s="369">
        <v>2397.35</v>
      </c>
    </row>
    <row r="2225" spans="32:34">
      <c r="AF2225" s="367">
        <f t="shared" si="34"/>
        <v>42005</v>
      </c>
      <c r="AG2225" s="368">
        <v>42035</v>
      </c>
      <c r="AH2225" s="369">
        <v>2441.1</v>
      </c>
    </row>
    <row r="2226" spans="32:34">
      <c r="AF2226" s="367">
        <f t="shared" si="34"/>
        <v>42036</v>
      </c>
      <c r="AG2226" s="368">
        <v>42036</v>
      </c>
      <c r="AH2226" s="369">
        <v>2441.1</v>
      </c>
    </row>
    <row r="2227" spans="32:34">
      <c r="AF2227" s="367">
        <f t="shared" si="34"/>
        <v>42036</v>
      </c>
      <c r="AG2227" s="368">
        <v>42037</v>
      </c>
      <c r="AH2227" s="369">
        <v>2441.1</v>
      </c>
    </row>
    <row r="2228" spans="32:34">
      <c r="AF2228" s="367">
        <f t="shared" si="34"/>
        <v>42036</v>
      </c>
      <c r="AG2228" s="368">
        <v>42038</v>
      </c>
      <c r="AH2228" s="369">
        <v>2407.29</v>
      </c>
    </row>
    <row r="2229" spans="32:34">
      <c r="AF2229" s="367">
        <f t="shared" si="34"/>
        <v>42036</v>
      </c>
      <c r="AG2229" s="368">
        <v>42039</v>
      </c>
      <c r="AH2229" s="369">
        <v>2374.7199999999998</v>
      </c>
    </row>
    <row r="2230" spans="32:34">
      <c r="AF2230" s="367">
        <f t="shared" si="34"/>
        <v>42036</v>
      </c>
      <c r="AG2230" s="368">
        <v>42040</v>
      </c>
      <c r="AH2230" s="369">
        <v>2381.91</v>
      </c>
    </row>
    <row r="2231" spans="32:34">
      <c r="AF2231" s="367">
        <f t="shared" si="34"/>
        <v>42036</v>
      </c>
      <c r="AG2231" s="368">
        <v>42041</v>
      </c>
      <c r="AH2231" s="369">
        <v>2384.5300000000002</v>
      </c>
    </row>
    <row r="2232" spans="32:34">
      <c r="AF2232" s="367">
        <f t="shared" si="34"/>
        <v>42036</v>
      </c>
      <c r="AG2232" s="368">
        <v>42042</v>
      </c>
      <c r="AH2232" s="369">
        <v>2384.7600000000002</v>
      </c>
    </row>
    <row r="2233" spans="32:34">
      <c r="AF2233" s="367">
        <f t="shared" si="34"/>
        <v>42036</v>
      </c>
      <c r="AG2233" s="368">
        <v>42043</v>
      </c>
      <c r="AH2233" s="369">
        <v>2384.7600000000002</v>
      </c>
    </row>
    <row r="2234" spans="32:34">
      <c r="AF2234" s="367">
        <f t="shared" si="34"/>
        <v>42036</v>
      </c>
      <c r="AG2234" s="368">
        <v>42044</v>
      </c>
      <c r="AH2234" s="369">
        <v>2384.7600000000002</v>
      </c>
    </row>
    <row r="2235" spans="32:34">
      <c r="AF2235" s="367">
        <f t="shared" si="34"/>
        <v>42036</v>
      </c>
      <c r="AG2235" s="368">
        <v>42045</v>
      </c>
      <c r="AH2235" s="369">
        <v>2371.31</v>
      </c>
    </row>
    <row r="2236" spans="32:34">
      <c r="AF2236" s="367">
        <f t="shared" si="34"/>
        <v>42036</v>
      </c>
      <c r="AG2236" s="368">
        <v>42046</v>
      </c>
      <c r="AH2236" s="369">
        <v>2380.79</v>
      </c>
    </row>
    <row r="2237" spans="32:34">
      <c r="AF2237" s="367">
        <f t="shared" si="34"/>
        <v>42036</v>
      </c>
      <c r="AG2237" s="368">
        <v>42047</v>
      </c>
      <c r="AH2237" s="369">
        <v>2416.61</v>
      </c>
    </row>
    <row r="2238" spans="32:34">
      <c r="AF2238" s="367">
        <f t="shared" si="34"/>
        <v>42036</v>
      </c>
      <c r="AG2238" s="368">
        <v>42048</v>
      </c>
      <c r="AH2238" s="369">
        <v>2401.0300000000002</v>
      </c>
    </row>
    <row r="2239" spans="32:34">
      <c r="AF2239" s="367">
        <f t="shared" si="34"/>
        <v>42036</v>
      </c>
      <c r="AG2239" s="368">
        <v>42049</v>
      </c>
      <c r="AH2239" s="369">
        <v>2376.23</v>
      </c>
    </row>
    <row r="2240" spans="32:34">
      <c r="AF2240" s="367">
        <f t="shared" si="34"/>
        <v>42036</v>
      </c>
      <c r="AG2240" s="368">
        <v>42050</v>
      </c>
      <c r="AH2240" s="369">
        <v>2376.23</v>
      </c>
    </row>
    <row r="2241" spans="32:34">
      <c r="AF2241" s="367">
        <f t="shared" si="34"/>
        <v>42036</v>
      </c>
      <c r="AG2241" s="368">
        <v>42051</v>
      </c>
      <c r="AH2241" s="369">
        <v>2376.23</v>
      </c>
    </row>
    <row r="2242" spans="32:34">
      <c r="AF2242" s="367">
        <f t="shared" si="34"/>
        <v>42036</v>
      </c>
      <c r="AG2242" s="368">
        <v>42052</v>
      </c>
      <c r="AH2242" s="369">
        <v>2376.23</v>
      </c>
    </row>
    <row r="2243" spans="32:34">
      <c r="AF2243" s="367">
        <f t="shared" si="34"/>
        <v>42036</v>
      </c>
      <c r="AG2243" s="368">
        <v>42053</v>
      </c>
      <c r="AH2243" s="369">
        <v>2416.37</v>
      </c>
    </row>
    <row r="2244" spans="32:34">
      <c r="AF2244" s="367">
        <f t="shared" ref="AF2244:AF2307" si="35">+DATE(YEAR(AG2244),MONTH(AG2244),1)</f>
        <v>42036</v>
      </c>
      <c r="AG2244" s="368">
        <v>42054</v>
      </c>
      <c r="AH2244" s="369">
        <v>2429.71</v>
      </c>
    </row>
    <row r="2245" spans="32:34">
      <c r="AF2245" s="367">
        <f t="shared" si="35"/>
        <v>42036</v>
      </c>
      <c r="AG2245" s="368">
        <v>42055</v>
      </c>
      <c r="AH2245" s="369">
        <v>2445.16</v>
      </c>
    </row>
    <row r="2246" spans="32:34">
      <c r="AF2246" s="367">
        <f t="shared" si="35"/>
        <v>42036</v>
      </c>
      <c r="AG2246" s="368">
        <v>42056</v>
      </c>
      <c r="AH2246" s="369">
        <v>2455.54</v>
      </c>
    </row>
    <row r="2247" spans="32:34">
      <c r="AF2247" s="367">
        <f t="shared" si="35"/>
        <v>42036</v>
      </c>
      <c r="AG2247" s="368">
        <v>42057</v>
      </c>
      <c r="AH2247" s="369">
        <v>2455.54</v>
      </c>
    </row>
    <row r="2248" spans="32:34">
      <c r="AF2248" s="367">
        <f t="shared" si="35"/>
        <v>42036</v>
      </c>
      <c r="AG2248" s="368">
        <v>42058</v>
      </c>
      <c r="AH2248" s="369">
        <v>2455.54</v>
      </c>
    </row>
    <row r="2249" spans="32:34">
      <c r="AF2249" s="367">
        <f t="shared" si="35"/>
        <v>42036</v>
      </c>
      <c r="AG2249" s="368">
        <v>42059</v>
      </c>
      <c r="AH2249" s="369">
        <v>2489.81</v>
      </c>
    </row>
    <row r="2250" spans="32:34">
      <c r="AF2250" s="367">
        <f t="shared" si="35"/>
        <v>42036</v>
      </c>
      <c r="AG2250" s="368">
        <v>42060</v>
      </c>
      <c r="AH2250" s="369">
        <v>2500.59</v>
      </c>
    </row>
    <row r="2251" spans="32:34">
      <c r="AF2251" s="367">
        <f t="shared" si="35"/>
        <v>42036</v>
      </c>
      <c r="AG2251" s="368">
        <v>42061</v>
      </c>
      <c r="AH2251" s="369">
        <v>2489.41</v>
      </c>
    </row>
    <row r="2252" spans="32:34">
      <c r="AF2252" s="367">
        <f t="shared" si="35"/>
        <v>42036</v>
      </c>
      <c r="AG2252" s="368">
        <v>42062</v>
      </c>
      <c r="AH2252" s="369">
        <v>2484.58</v>
      </c>
    </row>
    <row r="2253" spans="32:34">
      <c r="AF2253" s="367">
        <f t="shared" si="35"/>
        <v>42036</v>
      </c>
      <c r="AG2253" s="368">
        <v>42063</v>
      </c>
      <c r="AH2253" s="369">
        <v>2496.9899999999998</v>
      </c>
    </row>
    <row r="2254" spans="32:34">
      <c r="AF2254" s="367">
        <f t="shared" si="35"/>
        <v>42064</v>
      </c>
      <c r="AG2254" s="368">
        <v>42064</v>
      </c>
      <c r="AH2254" s="369">
        <v>2496.9899999999998</v>
      </c>
    </row>
    <row r="2255" spans="32:34">
      <c r="AF2255" s="367">
        <f t="shared" si="35"/>
        <v>42064</v>
      </c>
      <c r="AG2255" s="368">
        <v>42065</v>
      </c>
      <c r="AH2255" s="369">
        <v>2496.9899999999998</v>
      </c>
    </row>
    <row r="2256" spans="32:34">
      <c r="AF2256" s="367">
        <f t="shared" si="35"/>
        <v>42064</v>
      </c>
      <c r="AG2256" s="368">
        <v>42066</v>
      </c>
      <c r="AH2256" s="369">
        <v>2522.0300000000002</v>
      </c>
    </row>
    <row r="2257" spans="32:34">
      <c r="AF2257" s="367">
        <f t="shared" si="35"/>
        <v>42064</v>
      </c>
      <c r="AG2257" s="368">
        <v>42067</v>
      </c>
      <c r="AH2257" s="369">
        <v>2555.08</v>
      </c>
    </row>
    <row r="2258" spans="32:34">
      <c r="AF2258" s="367">
        <f t="shared" si="35"/>
        <v>42064</v>
      </c>
      <c r="AG2258" s="368">
        <v>42068</v>
      </c>
      <c r="AH2258" s="369">
        <v>2565.9</v>
      </c>
    </row>
    <row r="2259" spans="32:34">
      <c r="AF2259" s="367">
        <f t="shared" si="35"/>
        <v>42064</v>
      </c>
      <c r="AG2259" s="368">
        <v>42069</v>
      </c>
      <c r="AH2259" s="369">
        <v>2543.4699999999998</v>
      </c>
    </row>
    <row r="2260" spans="32:34">
      <c r="AF2260" s="367">
        <f t="shared" si="35"/>
        <v>42064</v>
      </c>
      <c r="AG2260" s="368">
        <v>42070</v>
      </c>
      <c r="AH2260" s="369">
        <v>2565.61</v>
      </c>
    </row>
    <row r="2261" spans="32:34">
      <c r="AF2261" s="367">
        <f t="shared" si="35"/>
        <v>42064</v>
      </c>
      <c r="AG2261" s="368">
        <v>42071</v>
      </c>
      <c r="AH2261" s="369">
        <v>2565.61</v>
      </c>
    </row>
    <row r="2262" spans="32:34">
      <c r="AF2262" s="367">
        <f t="shared" si="35"/>
        <v>42064</v>
      </c>
      <c r="AG2262" s="368">
        <v>42072</v>
      </c>
      <c r="AH2262" s="369">
        <v>2565.61</v>
      </c>
    </row>
    <row r="2263" spans="32:34">
      <c r="AF2263" s="367">
        <f t="shared" si="35"/>
        <v>42064</v>
      </c>
      <c r="AG2263" s="368">
        <v>42073</v>
      </c>
      <c r="AH2263" s="369">
        <v>2592.86</v>
      </c>
    </row>
    <row r="2264" spans="32:34">
      <c r="AF2264" s="367">
        <f t="shared" si="35"/>
        <v>42064</v>
      </c>
      <c r="AG2264" s="368">
        <v>42074</v>
      </c>
      <c r="AH2264" s="369">
        <v>2618.79</v>
      </c>
    </row>
    <row r="2265" spans="32:34">
      <c r="AF2265" s="367">
        <f t="shared" si="35"/>
        <v>42064</v>
      </c>
      <c r="AG2265" s="368">
        <v>42075</v>
      </c>
      <c r="AH2265" s="369">
        <v>2633.65</v>
      </c>
    </row>
    <row r="2266" spans="32:34">
      <c r="AF2266" s="367">
        <f t="shared" si="35"/>
        <v>42064</v>
      </c>
      <c r="AG2266" s="368">
        <v>42076</v>
      </c>
      <c r="AH2266" s="369">
        <v>2610.08</v>
      </c>
    </row>
    <row r="2267" spans="32:34">
      <c r="AF2267" s="367">
        <f t="shared" si="35"/>
        <v>42064</v>
      </c>
      <c r="AG2267" s="368">
        <v>42077</v>
      </c>
      <c r="AH2267" s="369">
        <v>2661.52</v>
      </c>
    </row>
    <row r="2268" spans="32:34">
      <c r="AF2268" s="367">
        <f t="shared" si="35"/>
        <v>42064</v>
      </c>
      <c r="AG2268" s="368">
        <v>42078</v>
      </c>
      <c r="AH2268" s="369">
        <v>2661.52</v>
      </c>
    </row>
    <row r="2269" spans="32:34">
      <c r="AF2269" s="367">
        <f t="shared" si="35"/>
        <v>42064</v>
      </c>
      <c r="AG2269" s="368">
        <v>42079</v>
      </c>
      <c r="AH2269" s="369">
        <v>2661.52</v>
      </c>
    </row>
    <row r="2270" spans="32:34">
      <c r="AF2270" s="367">
        <f t="shared" si="35"/>
        <v>42064</v>
      </c>
      <c r="AG2270" s="368">
        <v>42080</v>
      </c>
      <c r="AH2270" s="369">
        <v>2675.08</v>
      </c>
    </row>
    <row r="2271" spans="32:34">
      <c r="AF2271" s="367">
        <f t="shared" si="35"/>
        <v>42064</v>
      </c>
      <c r="AG2271" s="368">
        <v>42081</v>
      </c>
      <c r="AH2271" s="369">
        <v>2677.97</v>
      </c>
    </row>
    <row r="2272" spans="32:34">
      <c r="AF2272" s="367">
        <f t="shared" si="35"/>
        <v>42064</v>
      </c>
      <c r="AG2272" s="368">
        <v>42082</v>
      </c>
      <c r="AH2272" s="369">
        <v>2651.49</v>
      </c>
    </row>
    <row r="2273" spans="32:34">
      <c r="AF2273" s="367">
        <f t="shared" si="35"/>
        <v>42064</v>
      </c>
      <c r="AG2273" s="368">
        <v>42083</v>
      </c>
      <c r="AH2273" s="369">
        <v>2613.38</v>
      </c>
    </row>
    <row r="2274" spans="32:34">
      <c r="AF2274" s="367">
        <f t="shared" si="35"/>
        <v>42064</v>
      </c>
      <c r="AG2274" s="368">
        <v>42084</v>
      </c>
      <c r="AH2274" s="369">
        <v>2587.71</v>
      </c>
    </row>
    <row r="2275" spans="32:34">
      <c r="AF2275" s="367">
        <f t="shared" si="35"/>
        <v>42064</v>
      </c>
      <c r="AG2275" s="368">
        <v>42085</v>
      </c>
      <c r="AH2275" s="369">
        <v>2587.71</v>
      </c>
    </row>
    <row r="2276" spans="32:34">
      <c r="AF2276" s="367">
        <f t="shared" si="35"/>
        <v>42064</v>
      </c>
      <c r="AG2276" s="368">
        <v>42086</v>
      </c>
      <c r="AH2276" s="369">
        <v>2587.71</v>
      </c>
    </row>
    <row r="2277" spans="32:34">
      <c r="AF2277" s="367">
        <f t="shared" si="35"/>
        <v>42064</v>
      </c>
      <c r="AG2277" s="368">
        <v>42087</v>
      </c>
      <c r="AH2277" s="369">
        <v>2587.71</v>
      </c>
    </row>
    <row r="2278" spans="32:34">
      <c r="AF2278" s="367">
        <f t="shared" si="35"/>
        <v>42064</v>
      </c>
      <c r="AG2278" s="368">
        <v>42088</v>
      </c>
      <c r="AH2278" s="369">
        <v>2526.79</v>
      </c>
    </row>
    <row r="2279" spans="32:34">
      <c r="AF2279" s="367">
        <f t="shared" si="35"/>
        <v>42064</v>
      </c>
      <c r="AG2279" s="368">
        <v>42089</v>
      </c>
      <c r="AH2279" s="369">
        <v>2535.5500000000002</v>
      </c>
    </row>
    <row r="2280" spans="32:34">
      <c r="AF2280" s="367">
        <f t="shared" si="35"/>
        <v>42064</v>
      </c>
      <c r="AG2280" s="368">
        <v>42090</v>
      </c>
      <c r="AH2280" s="369">
        <v>2551.3000000000002</v>
      </c>
    </row>
    <row r="2281" spans="32:34">
      <c r="AF2281" s="367">
        <f t="shared" si="35"/>
        <v>42064</v>
      </c>
      <c r="AG2281" s="368">
        <v>42091</v>
      </c>
      <c r="AH2281" s="369">
        <v>2556.85</v>
      </c>
    </row>
    <row r="2282" spans="32:34">
      <c r="AF2282" s="367">
        <f t="shared" si="35"/>
        <v>42064</v>
      </c>
      <c r="AG2282" s="368">
        <v>42092</v>
      </c>
      <c r="AH2282" s="369">
        <v>2556.85</v>
      </c>
    </row>
    <row r="2283" spans="32:34">
      <c r="AF2283" s="367">
        <f t="shared" si="35"/>
        <v>42064</v>
      </c>
      <c r="AG2283" s="368">
        <v>42093</v>
      </c>
      <c r="AH2283" s="369">
        <v>2556.85</v>
      </c>
    </row>
    <row r="2284" spans="32:34">
      <c r="AF2284" s="367">
        <f t="shared" si="35"/>
        <v>42064</v>
      </c>
      <c r="AG2284" s="368">
        <v>42094</v>
      </c>
      <c r="AH2284" s="369">
        <v>2576.0500000000002</v>
      </c>
    </row>
    <row r="2285" spans="32:34">
      <c r="AF2285" s="367">
        <f t="shared" si="35"/>
        <v>42095</v>
      </c>
      <c r="AG2285" s="368">
        <v>42095</v>
      </c>
      <c r="AH2285" s="369">
        <v>2598.36</v>
      </c>
    </row>
    <row r="2286" spans="32:34">
      <c r="AF2286" s="367">
        <f t="shared" si="35"/>
        <v>42095</v>
      </c>
      <c r="AG2286" s="368">
        <v>42096</v>
      </c>
      <c r="AH2286" s="369">
        <v>2576.41</v>
      </c>
    </row>
    <row r="2287" spans="32:34">
      <c r="AF2287" s="367">
        <f t="shared" si="35"/>
        <v>42095</v>
      </c>
      <c r="AG2287" s="368">
        <v>42097</v>
      </c>
      <c r="AH2287" s="369">
        <v>2576.41</v>
      </c>
    </row>
    <row r="2288" spans="32:34">
      <c r="AF2288" s="367">
        <f t="shared" si="35"/>
        <v>42095</v>
      </c>
      <c r="AG2288" s="368">
        <v>42098</v>
      </c>
      <c r="AH2288" s="369">
        <v>2576.41</v>
      </c>
    </row>
    <row r="2289" spans="32:34">
      <c r="AF2289" s="367">
        <f t="shared" si="35"/>
        <v>42095</v>
      </c>
      <c r="AG2289" s="368">
        <v>42099</v>
      </c>
      <c r="AH2289" s="369">
        <v>2576.41</v>
      </c>
    </row>
    <row r="2290" spans="32:34">
      <c r="AF2290" s="367">
        <f t="shared" si="35"/>
        <v>42095</v>
      </c>
      <c r="AG2290" s="368">
        <v>42100</v>
      </c>
      <c r="AH2290" s="369">
        <v>2576.41</v>
      </c>
    </row>
    <row r="2291" spans="32:34">
      <c r="AF2291" s="367">
        <f t="shared" si="35"/>
        <v>42095</v>
      </c>
      <c r="AG2291" s="368">
        <v>42101</v>
      </c>
      <c r="AH2291" s="369">
        <v>2522.71</v>
      </c>
    </row>
    <row r="2292" spans="32:34">
      <c r="AF2292" s="367">
        <f t="shared" si="35"/>
        <v>42095</v>
      </c>
      <c r="AG2292" s="368">
        <v>42102</v>
      </c>
      <c r="AH2292" s="369">
        <v>2518.0500000000002</v>
      </c>
    </row>
    <row r="2293" spans="32:34">
      <c r="AF2293" s="367">
        <f t="shared" si="35"/>
        <v>42095</v>
      </c>
      <c r="AG2293" s="368">
        <v>42103</v>
      </c>
      <c r="AH2293" s="369">
        <v>2490.9</v>
      </c>
    </row>
    <row r="2294" spans="32:34">
      <c r="AF2294" s="367">
        <f t="shared" si="35"/>
        <v>42095</v>
      </c>
      <c r="AG2294" s="368">
        <v>42104</v>
      </c>
      <c r="AH2294" s="369">
        <v>2494.77</v>
      </c>
    </row>
    <row r="2295" spans="32:34">
      <c r="AF2295" s="367">
        <f t="shared" si="35"/>
        <v>42095</v>
      </c>
      <c r="AG2295" s="368">
        <v>42105</v>
      </c>
      <c r="AH2295" s="369">
        <v>2516.08</v>
      </c>
    </row>
    <row r="2296" spans="32:34">
      <c r="AF2296" s="367">
        <f t="shared" si="35"/>
        <v>42095</v>
      </c>
      <c r="AG2296" s="368">
        <v>42106</v>
      </c>
      <c r="AH2296" s="369">
        <v>2516.08</v>
      </c>
    </row>
    <row r="2297" spans="32:34">
      <c r="AF2297" s="367">
        <f t="shared" si="35"/>
        <v>42095</v>
      </c>
      <c r="AG2297" s="368">
        <v>42107</v>
      </c>
      <c r="AH2297" s="369">
        <v>2516.08</v>
      </c>
    </row>
    <row r="2298" spans="32:34">
      <c r="AF2298" s="367">
        <f t="shared" si="35"/>
        <v>42095</v>
      </c>
      <c r="AG2298" s="368">
        <v>42108</v>
      </c>
      <c r="AH2298" s="369">
        <v>2537.33</v>
      </c>
    </row>
    <row r="2299" spans="32:34">
      <c r="AF2299" s="367">
        <f t="shared" si="35"/>
        <v>42095</v>
      </c>
      <c r="AG2299" s="368">
        <v>42109</v>
      </c>
      <c r="AH2299" s="369">
        <v>2550.83</v>
      </c>
    </row>
    <row r="2300" spans="32:34">
      <c r="AF2300" s="367">
        <f t="shared" si="35"/>
        <v>42095</v>
      </c>
      <c r="AG2300" s="368">
        <v>42110</v>
      </c>
      <c r="AH2300" s="369">
        <v>2534.63</v>
      </c>
    </row>
    <row r="2301" spans="32:34">
      <c r="AF2301" s="367">
        <f t="shared" si="35"/>
        <v>42095</v>
      </c>
      <c r="AG2301" s="368">
        <v>42111</v>
      </c>
      <c r="AH2301" s="369">
        <v>2493.9299999999998</v>
      </c>
    </row>
    <row r="2302" spans="32:34">
      <c r="AF2302" s="367">
        <f t="shared" si="35"/>
        <v>42095</v>
      </c>
      <c r="AG2302" s="368">
        <v>42112</v>
      </c>
      <c r="AH2302" s="369">
        <v>2495.0100000000002</v>
      </c>
    </row>
    <row r="2303" spans="32:34">
      <c r="AF2303" s="367">
        <f t="shared" si="35"/>
        <v>42095</v>
      </c>
      <c r="AG2303" s="368">
        <v>42113</v>
      </c>
      <c r="AH2303" s="369">
        <v>2495.0100000000002</v>
      </c>
    </row>
    <row r="2304" spans="32:34">
      <c r="AF2304" s="367">
        <f t="shared" si="35"/>
        <v>42095</v>
      </c>
      <c r="AG2304" s="368">
        <v>42114</v>
      </c>
      <c r="AH2304" s="369">
        <v>2495.0100000000002</v>
      </c>
    </row>
    <row r="2305" spans="32:34">
      <c r="AF2305" s="367">
        <f t="shared" si="35"/>
        <v>42095</v>
      </c>
      <c r="AG2305" s="368">
        <v>42115</v>
      </c>
      <c r="AH2305" s="369">
        <v>2487.0700000000002</v>
      </c>
    </row>
    <row r="2306" spans="32:34">
      <c r="AF2306" s="367">
        <f t="shared" si="35"/>
        <v>42095</v>
      </c>
      <c r="AG2306" s="368">
        <v>42116</v>
      </c>
      <c r="AH2306" s="369">
        <v>2469.0300000000002</v>
      </c>
    </row>
    <row r="2307" spans="32:34">
      <c r="AF2307" s="367">
        <f t="shared" si="35"/>
        <v>42095</v>
      </c>
      <c r="AG2307" s="368">
        <v>42117</v>
      </c>
      <c r="AH2307" s="369">
        <v>2488.5</v>
      </c>
    </row>
    <row r="2308" spans="32:34">
      <c r="AF2308" s="367">
        <f t="shared" ref="AF2308:AF2371" si="36">+DATE(YEAR(AG2308),MONTH(AG2308),1)</f>
        <v>42095</v>
      </c>
      <c r="AG2308" s="368">
        <v>42118</v>
      </c>
      <c r="AH2308" s="369">
        <v>2471.21</v>
      </c>
    </row>
    <row r="2309" spans="32:34">
      <c r="AF2309" s="367">
        <f t="shared" si="36"/>
        <v>42095</v>
      </c>
      <c r="AG2309" s="368">
        <v>42119</v>
      </c>
      <c r="AH2309" s="369">
        <v>2461.17</v>
      </c>
    </row>
    <row r="2310" spans="32:34">
      <c r="AF2310" s="367">
        <f t="shared" si="36"/>
        <v>42095</v>
      </c>
      <c r="AG2310" s="368">
        <v>42120</v>
      </c>
      <c r="AH2310" s="369">
        <v>2461.17</v>
      </c>
    </row>
    <row r="2311" spans="32:34">
      <c r="AF2311" s="367">
        <f t="shared" si="36"/>
        <v>42095</v>
      </c>
      <c r="AG2311" s="368">
        <v>42121</v>
      </c>
      <c r="AH2311" s="369">
        <v>2461.17</v>
      </c>
    </row>
    <row r="2312" spans="32:34">
      <c r="AF2312" s="367">
        <f t="shared" si="36"/>
        <v>42095</v>
      </c>
      <c r="AG2312" s="368">
        <v>42122</v>
      </c>
      <c r="AH2312" s="369">
        <v>2419.81</v>
      </c>
    </row>
    <row r="2313" spans="32:34">
      <c r="AF2313" s="367">
        <f t="shared" si="36"/>
        <v>42095</v>
      </c>
      <c r="AG2313" s="368">
        <v>42123</v>
      </c>
      <c r="AH2313" s="369">
        <v>2393.42</v>
      </c>
    </row>
    <row r="2314" spans="32:34">
      <c r="AF2314" s="367">
        <f t="shared" si="36"/>
        <v>42095</v>
      </c>
      <c r="AG2314" s="368">
        <v>42124</v>
      </c>
      <c r="AH2314" s="369">
        <v>2388.06</v>
      </c>
    </row>
    <row r="2315" spans="32:34">
      <c r="AF2315" s="367">
        <f t="shared" si="36"/>
        <v>42125</v>
      </c>
      <c r="AG2315" s="368">
        <v>42125</v>
      </c>
      <c r="AH2315" s="369">
        <v>2393.58</v>
      </c>
    </row>
    <row r="2316" spans="32:34">
      <c r="AF2316" s="367">
        <f t="shared" si="36"/>
        <v>42125</v>
      </c>
      <c r="AG2316" s="368">
        <v>42126</v>
      </c>
      <c r="AH2316" s="369">
        <v>2393.58</v>
      </c>
    </row>
    <row r="2317" spans="32:34">
      <c r="AF2317" s="367">
        <f t="shared" si="36"/>
        <v>42125</v>
      </c>
      <c r="AG2317" s="368">
        <v>42127</v>
      </c>
      <c r="AH2317" s="369">
        <v>2393.58</v>
      </c>
    </row>
    <row r="2318" spans="32:34">
      <c r="AF2318" s="367">
        <f t="shared" si="36"/>
        <v>42125</v>
      </c>
      <c r="AG2318" s="368">
        <v>42128</v>
      </c>
      <c r="AH2318" s="369">
        <v>2393.58</v>
      </c>
    </row>
    <row r="2319" spans="32:34">
      <c r="AF2319" s="367">
        <f t="shared" si="36"/>
        <v>42125</v>
      </c>
      <c r="AG2319" s="368">
        <v>42129</v>
      </c>
      <c r="AH2319" s="369">
        <v>2408.17</v>
      </c>
    </row>
    <row r="2320" spans="32:34">
      <c r="AF2320" s="367">
        <f t="shared" si="36"/>
        <v>42125</v>
      </c>
      <c r="AG2320" s="368">
        <v>42130</v>
      </c>
      <c r="AH2320" s="369">
        <v>2386.7199999999998</v>
      </c>
    </row>
    <row r="2321" spans="32:34">
      <c r="AF2321" s="367">
        <f t="shared" si="36"/>
        <v>42125</v>
      </c>
      <c r="AG2321" s="368">
        <v>42131</v>
      </c>
      <c r="AH2321" s="369">
        <v>2362.41</v>
      </c>
    </row>
    <row r="2322" spans="32:34">
      <c r="AF2322" s="367">
        <f t="shared" si="36"/>
        <v>42125</v>
      </c>
      <c r="AG2322" s="368">
        <v>42132</v>
      </c>
      <c r="AH2322" s="369">
        <v>2369.23</v>
      </c>
    </row>
    <row r="2323" spans="32:34">
      <c r="AF2323" s="367">
        <f t="shared" si="36"/>
        <v>42125</v>
      </c>
      <c r="AG2323" s="368">
        <v>42133</v>
      </c>
      <c r="AH2323" s="369">
        <v>2360.58</v>
      </c>
    </row>
    <row r="2324" spans="32:34">
      <c r="AF2324" s="367">
        <f t="shared" si="36"/>
        <v>42125</v>
      </c>
      <c r="AG2324" s="368">
        <v>42134</v>
      </c>
      <c r="AH2324" s="369">
        <v>2360.58</v>
      </c>
    </row>
    <row r="2325" spans="32:34">
      <c r="AF2325" s="367">
        <f t="shared" si="36"/>
        <v>42125</v>
      </c>
      <c r="AG2325" s="368">
        <v>42135</v>
      </c>
      <c r="AH2325" s="369">
        <v>2360.58</v>
      </c>
    </row>
    <row r="2326" spans="32:34">
      <c r="AF2326" s="367">
        <f t="shared" si="36"/>
        <v>42125</v>
      </c>
      <c r="AG2326" s="368">
        <v>42136</v>
      </c>
      <c r="AH2326" s="369">
        <v>2381.5300000000002</v>
      </c>
    </row>
    <row r="2327" spans="32:34">
      <c r="AF2327" s="367">
        <f t="shared" si="36"/>
        <v>42125</v>
      </c>
      <c r="AG2327" s="368">
        <v>42137</v>
      </c>
      <c r="AH2327" s="369">
        <v>2386.77</v>
      </c>
    </row>
    <row r="2328" spans="32:34">
      <c r="AF2328" s="367">
        <f t="shared" si="36"/>
        <v>42125</v>
      </c>
      <c r="AG2328" s="368">
        <v>42138</v>
      </c>
      <c r="AH2328" s="369">
        <v>2377.87</v>
      </c>
    </row>
    <row r="2329" spans="32:34">
      <c r="AF2329" s="367">
        <f t="shared" si="36"/>
        <v>42125</v>
      </c>
      <c r="AG2329" s="368">
        <v>42139</v>
      </c>
      <c r="AH2329" s="369">
        <v>2389.4899999999998</v>
      </c>
    </row>
    <row r="2330" spans="32:34">
      <c r="AF2330" s="367">
        <f t="shared" si="36"/>
        <v>42125</v>
      </c>
      <c r="AG2330" s="368">
        <v>42140</v>
      </c>
      <c r="AH2330" s="369">
        <v>2417.0100000000002</v>
      </c>
    </row>
    <row r="2331" spans="32:34">
      <c r="AF2331" s="367">
        <f t="shared" si="36"/>
        <v>42125</v>
      </c>
      <c r="AG2331" s="368">
        <v>42141</v>
      </c>
      <c r="AH2331" s="369">
        <v>2417.0100000000002</v>
      </c>
    </row>
    <row r="2332" spans="32:34">
      <c r="AF2332" s="367">
        <f t="shared" si="36"/>
        <v>42125</v>
      </c>
      <c r="AG2332" s="368">
        <v>42142</v>
      </c>
      <c r="AH2332" s="369">
        <v>2417.0100000000002</v>
      </c>
    </row>
    <row r="2333" spans="32:34">
      <c r="AF2333" s="367">
        <f t="shared" si="36"/>
        <v>42125</v>
      </c>
      <c r="AG2333" s="368">
        <v>42143</v>
      </c>
      <c r="AH2333" s="369">
        <v>2417.0100000000002</v>
      </c>
    </row>
    <row r="2334" spans="32:34">
      <c r="AF2334" s="367">
        <f t="shared" si="36"/>
        <v>42125</v>
      </c>
      <c r="AG2334" s="368">
        <v>42144</v>
      </c>
      <c r="AH2334" s="369">
        <v>2475.4499999999998</v>
      </c>
    </row>
    <row r="2335" spans="32:34">
      <c r="AF2335" s="367">
        <f t="shared" si="36"/>
        <v>42125</v>
      </c>
      <c r="AG2335" s="368">
        <v>42145</v>
      </c>
      <c r="AH2335" s="369">
        <v>2503.37</v>
      </c>
    </row>
    <row r="2336" spans="32:34">
      <c r="AF2336" s="367">
        <f t="shared" si="36"/>
        <v>42125</v>
      </c>
      <c r="AG2336" s="368">
        <v>42146</v>
      </c>
      <c r="AH2336" s="369">
        <v>2489.39</v>
      </c>
    </row>
    <row r="2337" spans="32:34">
      <c r="AF2337" s="367">
        <f t="shared" si="36"/>
        <v>42125</v>
      </c>
      <c r="AG2337" s="368">
        <v>42147</v>
      </c>
      <c r="AH2337" s="369">
        <v>2500.2199999999998</v>
      </c>
    </row>
    <row r="2338" spans="32:34">
      <c r="AF2338" s="367">
        <f t="shared" si="36"/>
        <v>42125</v>
      </c>
      <c r="AG2338" s="368">
        <v>42148</v>
      </c>
      <c r="AH2338" s="369">
        <v>2500.2199999999998</v>
      </c>
    </row>
    <row r="2339" spans="32:34">
      <c r="AF2339" s="367">
        <f t="shared" si="36"/>
        <v>42125</v>
      </c>
      <c r="AG2339" s="368">
        <v>42149</v>
      </c>
      <c r="AH2339" s="369">
        <v>2500.2199999999998</v>
      </c>
    </row>
    <row r="2340" spans="32:34">
      <c r="AF2340" s="367">
        <f t="shared" si="36"/>
        <v>42125</v>
      </c>
      <c r="AG2340" s="368">
        <v>42150</v>
      </c>
      <c r="AH2340" s="369">
        <v>2500.2199999999998</v>
      </c>
    </row>
    <row r="2341" spans="32:34">
      <c r="AF2341" s="367">
        <f t="shared" si="36"/>
        <v>42125</v>
      </c>
      <c r="AG2341" s="368">
        <v>42151</v>
      </c>
      <c r="AH2341" s="369">
        <v>2542.5300000000002</v>
      </c>
    </row>
    <row r="2342" spans="32:34">
      <c r="AF2342" s="367">
        <f t="shared" si="36"/>
        <v>42125</v>
      </c>
      <c r="AG2342" s="368">
        <v>42152</v>
      </c>
      <c r="AH2342" s="369">
        <v>2548.13</v>
      </c>
    </row>
    <row r="2343" spans="32:34">
      <c r="AF2343" s="367">
        <f t="shared" si="36"/>
        <v>42125</v>
      </c>
      <c r="AG2343" s="368">
        <v>42153</v>
      </c>
      <c r="AH2343" s="369">
        <v>2549.9699999999998</v>
      </c>
    </row>
    <row r="2344" spans="32:34">
      <c r="AF2344" s="367">
        <f t="shared" si="36"/>
        <v>42125</v>
      </c>
      <c r="AG2344" s="368">
        <v>42154</v>
      </c>
      <c r="AH2344" s="370">
        <v>2533.79</v>
      </c>
    </row>
    <row r="2345" spans="32:34">
      <c r="AF2345" s="367">
        <f t="shared" si="36"/>
        <v>42125</v>
      </c>
      <c r="AG2345" s="368">
        <v>42155</v>
      </c>
      <c r="AH2345" s="370">
        <v>2533.79</v>
      </c>
    </row>
    <row r="2346" spans="32:34">
      <c r="AF2346" s="367">
        <f t="shared" si="36"/>
        <v>42156</v>
      </c>
      <c r="AG2346" s="368">
        <v>42156</v>
      </c>
      <c r="AH2346" s="370">
        <v>2533.79</v>
      </c>
    </row>
    <row r="2347" spans="32:34">
      <c r="AF2347" s="367">
        <f t="shared" si="36"/>
        <v>42156</v>
      </c>
      <c r="AG2347" s="368">
        <v>42157</v>
      </c>
      <c r="AH2347" s="370">
        <v>2549.29</v>
      </c>
    </row>
    <row r="2348" spans="32:34">
      <c r="AF2348" s="367">
        <f t="shared" si="36"/>
        <v>42156</v>
      </c>
      <c r="AG2348" s="368">
        <v>42158</v>
      </c>
      <c r="AH2348" s="370">
        <v>2554.44</v>
      </c>
    </row>
    <row r="2349" spans="32:34">
      <c r="AF2349" s="367">
        <f t="shared" si="36"/>
        <v>42156</v>
      </c>
      <c r="AG2349" s="368">
        <v>42159</v>
      </c>
      <c r="AH2349" s="370">
        <v>2571.92</v>
      </c>
    </row>
    <row r="2350" spans="32:34">
      <c r="AF2350" s="367">
        <f t="shared" si="36"/>
        <v>42156</v>
      </c>
      <c r="AG2350" s="368">
        <v>42160</v>
      </c>
      <c r="AH2350" s="370">
        <v>2588.56</v>
      </c>
    </row>
    <row r="2351" spans="32:34">
      <c r="AF2351" s="367">
        <f t="shared" si="36"/>
        <v>42156</v>
      </c>
      <c r="AG2351" s="368">
        <v>42161</v>
      </c>
      <c r="AH2351" s="370">
        <v>2623.66</v>
      </c>
    </row>
    <row r="2352" spans="32:34">
      <c r="AF2352" s="367">
        <f t="shared" si="36"/>
        <v>42156</v>
      </c>
      <c r="AG2352" s="368">
        <v>42162</v>
      </c>
      <c r="AH2352" s="370">
        <v>2623.66</v>
      </c>
    </row>
    <row r="2353" spans="32:34">
      <c r="AF2353" s="367">
        <f t="shared" si="36"/>
        <v>42156</v>
      </c>
      <c r="AG2353" s="368">
        <v>42163</v>
      </c>
      <c r="AH2353" s="370">
        <v>2623.66</v>
      </c>
    </row>
    <row r="2354" spans="32:34">
      <c r="AF2354" s="367">
        <f t="shared" si="36"/>
        <v>42156</v>
      </c>
      <c r="AG2354" s="368">
        <v>42164</v>
      </c>
      <c r="AH2354" s="370">
        <v>2623.66</v>
      </c>
    </row>
    <row r="2355" spans="32:34">
      <c r="AF2355" s="367">
        <f t="shared" si="36"/>
        <v>42156</v>
      </c>
      <c r="AG2355" s="368">
        <v>42165</v>
      </c>
      <c r="AH2355" s="370">
        <v>2569.17</v>
      </c>
    </row>
    <row r="2356" spans="32:34">
      <c r="AF2356" s="367">
        <f t="shared" si="36"/>
        <v>42156</v>
      </c>
      <c r="AG2356" s="368">
        <v>42166</v>
      </c>
      <c r="AH2356" s="371">
        <v>2523</v>
      </c>
    </row>
    <row r="2357" spans="32:34">
      <c r="AF2357" s="367">
        <f t="shared" si="36"/>
        <v>42156</v>
      </c>
      <c r="AG2357" s="368">
        <v>42167</v>
      </c>
      <c r="AH2357" s="370">
        <v>2538.5500000000002</v>
      </c>
    </row>
    <row r="2358" spans="32:34">
      <c r="AF2358" s="367">
        <f t="shared" si="36"/>
        <v>42156</v>
      </c>
      <c r="AG2358" s="368">
        <v>42168</v>
      </c>
      <c r="AH2358" s="370">
        <v>2535.91</v>
      </c>
    </row>
    <row r="2359" spans="32:34">
      <c r="AF2359" s="367">
        <f t="shared" si="36"/>
        <v>42156</v>
      </c>
      <c r="AG2359" s="368">
        <v>42169</v>
      </c>
      <c r="AH2359" s="370">
        <v>2535.91</v>
      </c>
    </row>
    <row r="2360" spans="32:34">
      <c r="AF2360" s="367">
        <f t="shared" si="36"/>
        <v>42156</v>
      </c>
      <c r="AG2360" s="368">
        <v>42170</v>
      </c>
      <c r="AH2360" s="370">
        <v>2535.91</v>
      </c>
    </row>
    <row r="2361" spans="32:34">
      <c r="AF2361" s="367">
        <f t="shared" si="36"/>
        <v>42156</v>
      </c>
      <c r="AG2361" s="368">
        <v>42171</v>
      </c>
      <c r="AH2361" s="370">
        <v>2535.91</v>
      </c>
    </row>
    <row r="2362" spans="32:34">
      <c r="AF2362" s="367">
        <f t="shared" si="36"/>
        <v>42156</v>
      </c>
      <c r="AG2362" s="368">
        <v>42172</v>
      </c>
      <c r="AH2362" s="370">
        <v>2531.7199999999998</v>
      </c>
    </row>
    <row r="2363" spans="32:34">
      <c r="AF2363" s="367">
        <f t="shared" si="36"/>
        <v>42156</v>
      </c>
      <c r="AG2363" s="368">
        <v>42173</v>
      </c>
      <c r="AH2363" s="370">
        <v>2550.4299999999998</v>
      </c>
    </row>
    <row r="2364" spans="32:34">
      <c r="AF2364" s="367">
        <f t="shared" si="36"/>
        <v>42156</v>
      </c>
      <c r="AG2364" s="368">
        <v>42174</v>
      </c>
      <c r="AH2364" s="370">
        <v>2528.85</v>
      </c>
    </row>
    <row r="2365" spans="32:34">
      <c r="AF2365" s="367">
        <f t="shared" si="36"/>
        <v>42156</v>
      </c>
      <c r="AG2365" s="368">
        <v>42175</v>
      </c>
      <c r="AH2365" s="370">
        <v>2548.1999999999998</v>
      </c>
    </row>
    <row r="2366" spans="32:34">
      <c r="AF2366" s="367">
        <f t="shared" si="36"/>
        <v>42156</v>
      </c>
      <c r="AG2366" s="368">
        <v>42176</v>
      </c>
      <c r="AH2366" s="370">
        <v>2548.1999999999998</v>
      </c>
    </row>
    <row r="2367" spans="32:34">
      <c r="AF2367" s="367">
        <f t="shared" si="36"/>
        <v>42156</v>
      </c>
      <c r="AG2367" s="368">
        <v>42177</v>
      </c>
      <c r="AH2367" s="370">
        <v>2548.1999999999998</v>
      </c>
    </row>
    <row r="2368" spans="32:34">
      <c r="AF2368" s="367">
        <f t="shared" si="36"/>
        <v>42156</v>
      </c>
      <c r="AG2368" s="368">
        <v>42178</v>
      </c>
      <c r="AH2368" s="370">
        <v>2537.6799999999998</v>
      </c>
    </row>
    <row r="2369" spans="32:34">
      <c r="AF2369" s="367">
        <f t="shared" si="36"/>
        <v>42156</v>
      </c>
      <c r="AG2369" s="368">
        <v>42179</v>
      </c>
      <c r="AH2369" s="370">
        <v>2550.7399999999998</v>
      </c>
    </row>
    <row r="2370" spans="32:34">
      <c r="AF2370" s="367">
        <f t="shared" si="36"/>
        <v>42156</v>
      </c>
      <c r="AG2370" s="368">
        <v>42180</v>
      </c>
      <c r="AH2370" s="370">
        <v>2566.66</v>
      </c>
    </row>
    <row r="2371" spans="32:34">
      <c r="AF2371" s="367">
        <f t="shared" si="36"/>
        <v>42156</v>
      </c>
      <c r="AG2371" s="368">
        <v>42181</v>
      </c>
      <c r="AH2371" s="370">
        <v>2556.21</v>
      </c>
    </row>
    <row r="2372" spans="32:34">
      <c r="AF2372" s="367">
        <f t="shared" ref="AF2372:AF2435" si="37">+DATE(YEAR(AG2372),MONTH(AG2372),1)</f>
        <v>42156</v>
      </c>
      <c r="AG2372" s="368">
        <v>42182</v>
      </c>
      <c r="AH2372" s="370">
        <v>2585.11</v>
      </c>
    </row>
    <row r="2373" spans="32:34">
      <c r="AF2373" s="367">
        <f t="shared" si="37"/>
        <v>42156</v>
      </c>
      <c r="AG2373" s="368">
        <v>42183</v>
      </c>
      <c r="AH2373" s="370">
        <v>2585.11</v>
      </c>
    </row>
    <row r="2374" spans="32:34">
      <c r="AF2374" s="367">
        <f t="shared" si="37"/>
        <v>42156</v>
      </c>
      <c r="AG2374" s="368">
        <v>42184</v>
      </c>
      <c r="AH2374" s="370">
        <v>2585.11</v>
      </c>
    </row>
    <row r="2375" spans="32:34">
      <c r="AF2375" s="367">
        <f t="shared" si="37"/>
        <v>42156</v>
      </c>
      <c r="AG2375" s="368">
        <v>42185</v>
      </c>
      <c r="AH2375" s="370">
        <v>2585.11</v>
      </c>
    </row>
    <row r="2376" spans="32:34">
      <c r="AF2376" s="367">
        <f t="shared" si="37"/>
        <v>42186</v>
      </c>
      <c r="AG2376" s="368">
        <v>42186</v>
      </c>
      <c r="AH2376" s="370">
        <v>2598.6799999999998</v>
      </c>
    </row>
    <row r="2377" spans="32:34">
      <c r="AF2377" s="367">
        <f t="shared" si="37"/>
        <v>42186</v>
      </c>
      <c r="AG2377" s="368">
        <v>42187</v>
      </c>
      <c r="AH2377" s="370">
        <v>2626.8</v>
      </c>
    </row>
    <row r="2378" spans="32:34">
      <c r="AF2378" s="367">
        <f t="shared" si="37"/>
        <v>42186</v>
      </c>
      <c r="AG2378" s="368">
        <v>42188</v>
      </c>
      <c r="AH2378" s="370">
        <v>2623.91</v>
      </c>
    </row>
    <row r="2379" spans="32:34">
      <c r="AF2379" s="367">
        <f t="shared" si="37"/>
        <v>42186</v>
      </c>
      <c r="AG2379" s="368">
        <v>42189</v>
      </c>
      <c r="AH2379" s="370">
        <v>2642.97</v>
      </c>
    </row>
    <row r="2380" spans="32:34">
      <c r="AF2380" s="367">
        <f t="shared" si="37"/>
        <v>42186</v>
      </c>
      <c r="AG2380" s="368">
        <v>42190</v>
      </c>
      <c r="AH2380" s="370">
        <v>2642.97</v>
      </c>
    </row>
    <row r="2381" spans="32:34">
      <c r="AF2381" s="367">
        <f t="shared" si="37"/>
        <v>42186</v>
      </c>
      <c r="AG2381" s="368">
        <v>42191</v>
      </c>
      <c r="AH2381" s="370">
        <v>2642.97</v>
      </c>
    </row>
    <row r="2382" spans="32:34">
      <c r="AF2382" s="367">
        <f t="shared" si="37"/>
        <v>42186</v>
      </c>
      <c r="AG2382" s="368">
        <v>42192</v>
      </c>
      <c r="AH2382" s="370">
        <v>2665.41</v>
      </c>
    </row>
    <row r="2383" spans="32:34">
      <c r="AF2383" s="367">
        <f t="shared" si="37"/>
        <v>42186</v>
      </c>
      <c r="AG2383" s="368">
        <v>42193</v>
      </c>
      <c r="AH2383" s="370">
        <v>2690.15</v>
      </c>
    </row>
    <row r="2384" spans="32:34">
      <c r="AF2384" s="367">
        <f t="shared" si="37"/>
        <v>42186</v>
      </c>
      <c r="AG2384" s="368">
        <v>42194</v>
      </c>
      <c r="AH2384" s="370">
        <v>2690.79</v>
      </c>
    </row>
    <row r="2385" spans="32:34">
      <c r="AF2385" s="367">
        <f t="shared" si="37"/>
        <v>42186</v>
      </c>
      <c r="AG2385" s="368">
        <v>42195</v>
      </c>
      <c r="AH2385" s="370">
        <v>2670.79</v>
      </c>
    </row>
    <row r="2386" spans="32:34">
      <c r="AF2386" s="367">
        <f t="shared" si="37"/>
        <v>42186</v>
      </c>
      <c r="AG2386" s="368">
        <v>42196</v>
      </c>
      <c r="AH2386" s="370">
        <v>2667.37</v>
      </c>
    </row>
    <row r="2387" spans="32:34">
      <c r="AF2387" s="367">
        <f t="shared" si="37"/>
        <v>42186</v>
      </c>
      <c r="AG2387" s="368">
        <v>42197</v>
      </c>
      <c r="AH2387" s="370">
        <v>2667.37</v>
      </c>
    </row>
    <row r="2388" spans="32:34">
      <c r="AF2388" s="367">
        <f t="shared" si="37"/>
        <v>42186</v>
      </c>
      <c r="AG2388" s="368">
        <v>42198</v>
      </c>
      <c r="AH2388" s="370">
        <v>2667.37</v>
      </c>
    </row>
    <row r="2389" spans="32:34">
      <c r="AF2389" s="367">
        <f t="shared" si="37"/>
        <v>42186</v>
      </c>
      <c r="AG2389" s="368">
        <v>42199</v>
      </c>
      <c r="AH2389" s="370">
        <v>2693.54</v>
      </c>
    </row>
    <row r="2390" spans="32:34">
      <c r="AF2390" s="367">
        <f t="shared" si="37"/>
        <v>42186</v>
      </c>
      <c r="AG2390" s="368">
        <v>42200</v>
      </c>
      <c r="AH2390" s="370">
        <v>2688.2</v>
      </c>
    </row>
    <row r="2391" spans="32:34">
      <c r="AF2391" s="367">
        <f t="shared" si="37"/>
        <v>42186</v>
      </c>
      <c r="AG2391" s="368">
        <v>42201</v>
      </c>
      <c r="AH2391" s="370">
        <v>2713.04</v>
      </c>
    </row>
    <row r="2392" spans="32:34">
      <c r="AF2392" s="367">
        <f t="shared" si="37"/>
        <v>42186</v>
      </c>
      <c r="AG2392" s="368">
        <v>42202</v>
      </c>
      <c r="AH2392" s="370">
        <v>2727.23</v>
      </c>
    </row>
    <row r="2393" spans="32:34">
      <c r="AF2393" s="367">
        <f t="shared" si="37"/>
        <v>42186</v>
      </c>
      <c r="AG2393" s="368">
        <v>42203</v>
      </c>
      <c r="AH2393" s="370">
        <v>2751.88</v>
      </c>
    </row>
    <row r="2394" spans="32:34">
      <c r="AF2394" s="367">
        <f t="shared" si="37"/>
        <v>42186</v>
      </c>
      <c r="AG2394" s="368">
        <v>42204</v>
      </c>
      <c r="AH2394" s="370">
        <v>2751.88</v>
      </c>
    </row>
    <row r="2395" spans="32:34">
      <c r="AF2395" s="367">
        <f t="shared" si="37"/>
        <v>42186</v>
      </c>
      <c r="AG2395" s="368">
        <v>42205</v>
      </c>
      <c r="AH2395" s="370">
        <v>2751.88</v>
      </c>
    </row>
    <row r="2396" spans="32:34">
      <c r="AF2396" s="367">
        <f t="shared" si="37"/>
        <v>42186</v>
      </c>
      <c r="AG2396" s="368">
        <v>42206</v>
      </c>
      <c r="AH2396" s="370">
        <v>2751.88</v>
      </c>
    </row>
    <row r="2397" spans="32:34">
      <c r="AF2397" s="367">
        <f t="shared" si="37"/>
        <v>42186</v>
      </c>
      <c r="AG2397" s="368">
        <v>42207</v>
      </c>
      <c r="AH2397" s="370">
        <v>2765.1</v>
      </c>
    </row>
    <row r="2398" spans="32:34">
      <c r="AF2398" s="367">
        <f t="shared" si="37"/>
        <v>42186</v>
      </c>
      <c r="AG2398" s="368">
        <v>42208</v>
      </c>
      <c r="AH2398" s="370">
        <v>2790.26</v>
      </c>
    </row>
    <row r="2399" spans="32:34">
      <c r="AF2399" s="367">
        <f t="shared" si="37"/>
        <v>42186</v>
      </c>
      <c r="AG2399" s="368">
        <v>42209</v>
      </c>
      <c r="AH2399" s="370">
        <v>2807.36</v>
      </c>
    </row>
    <row r="2400" spans="32:34">
      <c r="AF2400" s="367">
        <f t="shared" si="37"/>
        <v>42186</v>
      </c>
      <c r="AG2400" s="368">
        <v>42210</v>
      </c>
      <c r="AH2400" s="370">
        <v>2857.46</v>
      </c>
    </row>
    <row r="2401" spans="32:34">
      <c r="AF2401" s="367">
        <f t="shared" si="37"/>
        <v>42186</v>
      </c>
      <c r="AG2401" s="368">
        <v>42211</v>
      </c>
      <c r="AH2401" s="370">
        <v>2857.46</v>
      </c>
    </row>
    <row r="2402" spans="32:34">
      <c r="AF2402" s="367">
        <f t="shared" si="37"/>
        <v>42186</v>
      </c>
      <c r="AG2402" s="368">
        <v>42212</v>
      </c>
      <c r="AH2402" s="370">
        <v>2857.46</v>
      </c>
    </row>
    <row r="2403" spans="32:34">
      <c r="AF2403" s="367">
        <f t="shared" si="37"/>
        <v>42186</v>
      </c>
      <c r="AG2403" s="368">
        <v>42213</v>
      </c>
      <c r="AH2403" s="370">
        <v>2854.13</v>
      </c>
    </row>
    <row r="2404" spans="32:34">
      <c r="AF2404" s="367">
        <f t="shared" si="37"/>
        <v>42186</v>
      </c>
      <c r="AG2404" s="368">
        <v>42214</v>
      </c>
      <c r="AH2404" s="370">
        <v>2855.44</v>
      </c>
    </row>
    <row r="2405" spans="32:34">
      <c r="AF2405" s="367">
        <f t="shared" si="37"/>
        <v>42186</v>
      </c>
      <c r="AG2405" s="368">
        <v>42215</v>
      </c>
      <c r="AH2405" s="370">
        <v>2855.32</v>
      </c>
    </row>
    <row r="2406" spans="32:34">
      <c r="AF2406" s="367">
        <f t="shared" si="37"/>
        <v>42186</v>
      </c>
      <c r="AG2406" s="368">
        <v>42216</v>
      </c>
      <c r="AH2406" s="370">
        <v>2866.04</v>
      </c>
    </row>
    <row r="2407" spans="32:34">
      <c r="AF2407" s="367">
        <f t="shared" si="37"/>
        <v>42217</v>
      </c>
      <c r="AG2407" s="368">
        <v>42217</v>
      </c>
      <c r="AH2407" s="370">
        <v>2862.51</v>
      </c>
    </row>
    <row r="2408" spans="32:34">
      <c r="AF2408" s="367">
        <f t="shared" si="37"/>
        <v>42217</v>
      </c>
      <c r="AG2408" s="368">
        <v>42218</v>
      </c>
      <c r="AH2408" s="370">
        <v>2862.51</v>
      </c>
    </row>
    <row r="2409" spans="32:34">
      <c r="AF2409" s="367">
        <f t="shared" si="37"/>
        <v>42217</v>
      </c>
      <c r="AG2409" s="368">
        <v>42219</v>
      </c>
      <c r="AH2409" s="370">
        <v>2862.51</v>
      </c>
    </row>
    <row r="2410" spans="32:34">
      <c r="AF2410" s="367">
        <f t="shared" si="37"/>
        <v>42217</v>
      </c>
      <c r="AG2410" s="368">
        <v>42220</v>
      </c>
      <c r="AH2410" s="370">
        <v>2902.98</v>
      </c>
    </row>
    <row r="2411" spans="32:34">
      <c r="AF2411" s="367">
        <f t="shared" si="37"/>
        <v>42217</v>
      </c>
      <c r="AG2411" s="368">
        <v>42221</v>
      </c>
      <c r="AH2411" s="370">
        <v>2906.95</v>
      </c>
    </row>
    <row r="2412" spans="32:34">
      <c r="AF2412" s="367">
        <f t="shared" si="37"/>
        <v>42217</v>
      </c>
      <c r="AG2412" s="368">
        <v>42222</v>
      </c>
      <c r="AH2412" s="370">
        <v>2945.97</v>
      </c>
    </row>
    <row r="2413" spans="32:34">
      <c r="AF2413" s="367">
        <f t="shared" si="37"/>
        <v>42217</v>
      </c>
      <c r="AG2413" s="368">
        <v>42223</v>
      </c>
      <c r="AH2413" s="370">
        <v>2955.31</v>
      </c>
    </row>
    <row r="2414" spans="32:34">
      <c r="AF2414" s="367">
        <f t="shared" si="37"/>
        <v>42217</v>
      </c>
      <c r="AG2414" s="368">
        <v>42224</v>
      </c>
      <c r="AH2414" s="370">
        <v>2955.31</v>
      </c>
    </row>
    <row r="2415" spans="32:34">
      <c r="AF2415" s="367">
        <f t="shared" si="37"/>
        <v>42217</v>
      </c>
      <c r="AG2415" s="368">
        <v>42225</v>
      </c>
      <c r="AH2415" s="370">
        <v>2955.31</v>
      </c>
    </row>
    <row r="2416" spans="32:34">
      <c r="AF2416" s="367">
        <f t="shared" si="37"/>
        <v>42217</v>
      </c>
      <c r="AG2416" s="368">
        <v>42226</v>
      </c>
      <c r="AH2416" s="370">
        <v>2955.31</v>
      </c>
    </row>
    <row r="2417" spans="32:34">
      <c r="AF2417" s="367">
        <f t="shared" si="37"/>
        <v>42217</v>
      </c>
      <c r="AG2417" s="368">
        <v>42227</v>
      </c>
      <c r="AH2417" s="370">
        <v>2913.45</v>
      </c>
    </row>
    <row r="2418" spans="32:34">
      <c r="AF2418" s="367">
        <f t="shared" si="37"/>
        <v>42217</v>
      </c>
      <c r="AG2418" s="368">
        <v>42228</v>
      </c>
      <c r="AH2418" s="370">
        <v>2943.97</v>
      </c>
    </row>
    <row r="2419" spans="32:34">
      <c r="AF2419" s="367">
        <f t="shared" si="37"/>
        <v>42217</v>
      </c>
      <c r="AG2419" s="368">
        <v>42229</v>
      </c>
      <c r="AH2419" s="370">
        <v>2937.63</v>
      </c>
    </row>
    <row r="2420" spans="32:34">
      <c r="AF2420" s="367">
        <f t="shared" si="37"/>
        <v>42217</v>
      </c>
      <c r="AG2420" s="368">
        <v>42230</v>
      </c>
      <c r="AH2420" s="370">
        <v>2966.12</v>
      </c>
    </row>
    <row r="2421" spans="32:34">
      <c r="AF2421" s="367">
        <f t="shared" si="37"/>
        <v>42217</v>
      </c>
      <c r="AG2421" s="368">
        <v>42231</v>
      </c>
      <c r="AH2421" s="370">
        <v>2983.12</v>
      </c>
    </row>
    <row r="2422" spans="32:34">
      <c r="AF2422" s="367">
        <f t="shared" si="37"/>
        <v>42217</v>
      </c>
      <c r="AG2422" s="368">
        <v>42232</v>
      </c>
      <c r="AH2422" s="370">
        <v>2983.12</v>
      </c>
    </row>
    <row r="2423" spans="32:34">
      <c r="AF2423" s="367">
        <f t="shared" si="37"/>
        <v>42217</v>
      </c>
      <c r="AG2423" s="368">
        <v>42233</v>
      </c>
      <c r="AH2423" s="370">
        <v>2983.12</v>
      </c>
    </row>
    <row r="2424" spans="32:34">
      <c r="AF2424" s="367">
        <f t="shared" si="37"/>
        <v>42217</v>
      </c>
      <c r="AG2424" s="368">
        <v>42234</v>
      </c>
      <c r="AH2424" s="370">
        <v>2983.12</v>
      </c>
    </row>
    <row r="2425" spans="32:34">
      <c r="AF2425" s="367">
        <f t="shared" si="37"/>
        <v>42217</v>
      </c>
      <c r="AG2425" s="368">
        <v>42235</v>
      </c>
      <c r="AH2425" s="370">
        <v>3003.35</v>
      </c>
    </row>
    <row r="2426" spans="32:34">
      <c r="AF2426" s="367">
        <f t="shared" si="37"/>
        <v>42217</v>
      </c>
      <c r="AG2426" s="368">
        <v>42236</v>
      </c>
      <c r="AH2426" s="370">
        <v>3027.2</v>
      </c>
    </row>
    <row r="2427" spans="32:34">
      <c r="AF2427" s="367">
        <f t="shared" si="37"/>
        <v>42217</v>
      </c>
      <c r="AG2427" s="368">
        <v>42237</v>
      </c>
      <c r="AH2427" s="370">
        <v>3053.65</v>
      </c>
    </row>
    <row r="2428" spans="32:34">
      <c r="AF2428" s="367">
        <f t="shared" si="37"/>
        <v>42217</v>
      </c>
      <c r="AG2428" s="368">
        <v>42238</v>
      </c>
      <c r="AH2428" s="370">
        <v>3102.6</v>
      </c>
    </row>
    <row r="2429" spans="32:34">
      <c r="AF2429" s="367">
        <f t="shared" si="37"/>
        <v>42217</v>
      </c>
      <c r="AG2429" s="368">
        <v>42239</v>
      </c>
      <c r="AH2429" s="370">
        <v>3102.6</v>
      </c>
    </row>
    <row r="2430" spans="32:34">
      <c r="AF2430" s="367">
        <f t="shared" si="37"/>
        <v>42217</v>
      </c>
      <c r="AG2430" s="368">
        <v>42240</v>
      </c>
      <c r="AH2430" s="370">
        <v>3102.6</v>
      </c>
    </row>
    <row r="2431" spans="32:34">
      <c r="AF2431" s="367">
        <f t="shared" si="37"/>
        <v>42217</v>
      </c>
      <c r="AG2431" s="368">
        <v>42241</v>
      </c>
      <c r="AH2431" s="370">
        <v>3208.37</v>
      </c>
    </row>
    <row r="2432" spans="32:34">
      <c r="AF2432" s="367">
        <f t="shared" si="37"/>
        <v>42217</v>
      </c>
      <c r="AG2432" s="368">
        <v>42242</v>
      </c>
      <c r="AH2432" s="370">
        <v>3194.24</v>
      </c>
    </row>
    <row r="2433" spans="32:34">
      <c r="AF2433" s="367">
        <f t="shared" si="37"/>
        <v>42217</v>
      </c>
      <c r="AG2433" s="368">
        <v>42243</v>
      </c>
      <c r="AH2433" s="370">
        <v>3238.51</v>
      </c>
    </row>
    <row r="2434" spans="32:34">
      <c r="AF2434" s="367">
        <f t="shared" si="37"/>
        <v>42217</v>
      </c>
      <c r="AG2434" s="368">
        <v>42244</v>
      </c>
      <c r="AH2434" s="370">
        <v>3195.47</v>
      </c>
    </row>
    <row r="2435" spans="32:34">
      <c r="AF2435" s="367">
        <f t="shared" si="37"/>
        <v>42217</v>
      </c>
      <c r="AG2435" s="368">
        <v>42245</v>
      </c>
      <c r="AH2435" s="370">
        <v>3101.1</v>
      </c>
    </row>
    <row r="2436" spans="32:34">
      <c r="AF2436" s="367">
        <f t="shared" ref="AF2436:AF2499" si="38">+DATE(YEAR(AG2436),MONTH(AG2436),1)</f>
        <v>42217</v>
      </c>
      <c r="AG2436" s="368">
        <v>42246</v>
      </c>
      <c r="AH2436" s="370">
        <v>3101.1</v>
      </c>
    </row>
    <row r="2437" spans="32:34">
      <c r="AF2437" s="367">
        <f t="shared" si="38"/>
        <v>42217</v>
      </c>
      <c r="AG2437" s="368">
        <v>42247</v>
      </c>
      <c r="AH2437" s="370">
        <v>3101.1</v>
      </c>
    </row>
    <row r="2438" spans="32:34">
      <c r="AF2438" s="367">
        <f t="shared" si="38"/>
        <v>42248</v>
      </c>
      <c r="AG2438" s="368">
        <v>42248</v>
      </c>
      <c r="AH2438" s="370">
        <v>3079.97</v>
      </c>
    </row>
    <row r="2439" spans="32:34">
      <c r="AF2439" s="367">
        <f t="shared" si="38"/>
        <v>42248</v>
      </c>
      <c r="AG2439" s="368">
        <v>42249</v>
      </c>
      <c r="AH2439" s="370">
        <v>3093.64</v>
      </c>
    </row>
    <row r="2440" spans="32:34">
      <c r="AF2440" s="367">
        <f t="shared" si="38"/>
        <v>42248</v>
      </c>
      <c r="AG2440" s="368">
        <v>42250</v>
      </c>
      <c r="AH2440" s="370">
        <v>3142.34</v>
      </c>
    </row>
    <row r="2441" spans="32:34">
      <c r="AF2441" s="367">
        <f t="shared" si="38"/>
        <v>42248</v>
      </c>
      <c r="AG2441" s="368">
        <v>42251</v>
      </c>
      <c r="AH2441" s="370">
        <v>3119.93</v>
      </c>
    </row>
    <row r="2442" spans="32:34">
      <c r="AF2442" s="367">
        <f t="shared" si="38"/>
        <v>42248</v>
      </c>
      <c r="AG2442" s="368">
        <v>42252</v>
      </c>
      <c r="AH2442" s="370">
        <v>3113.55</v>
      </c>
    </row>
    <row r="2443" spans="32:34">
      <c r="AF2443" s="367">
        <f t="shared" si="38"/>
        <v>42248</v>
      </c>
      <c r="AG2443" s="368">
        <v>42253</v>
      </c>
      <c r="AH2443" s="370">
        <v>3113.55</v>
      </c>
    </row>
    <row r="2444" spans="32:34">
      <c r="AF2444" s="367">
        <f t="shared" si="38"/>
        <v>42248</v>
      </c>
      <c r="AG2444" s="368">
        <v>42254</v>
      </c>
      <c r="AH2444" s="370">
        <v>3113.55</v>
      </c>
    </row>
    <row r="2445" spans="32:34">
      <c r="AF2445" s="367">
        <f t="shared" si="38"/>
        <v>42248</v>
      </c>
      <c r="AG2445" s="368">
        <v>42255</v>
      </c>
      <c r="AH2445" s="370">
        <v>3113.55</v>
      </c>
    </row>
    <row r="2446" spans="32:34">
      <c r="AF2446" s="367">
        <f t="shared" si="38"/>
        <v>42248</v>
      </c>
      <c r="AG2446" s="368">
        <v>42256</v>
      </c>
      <c r="AH2446" s="370">
        <v>3138.46</v>
      </c>
    </row>
    <row r="2447" spans="32:34">
      <c r="AF2447" s="367">
        <f t="shared" si="38"/>
        <v>42248</v>
      </c>
      <c r="AG2447" s="368">
        <v>42257</v>
      </c>
      <c r="AH2447" s="370">
        <v>3105.4</v>
      </c>
    </row>
    <row r="2448" spans="32:34">
      <c r="AF2448" s="367">
        <f t="shared" si="38"/>
        <v>42248</v>
      </c>
      <c r="AG2448" s="368">
        <v>42258</v>
      </c>
      <c r="AH2448" s="370">
        <v>3080.57</v>
      </c>
    </row>
    <row r="2449" spans="32:34">
      <c r="AF2449" s="367">
        <f t="shared" si="38"/>
        <v>42248</v>
      </c>
      <c r="AG2449" s="368">
        <v>42259</v>
      </c>
      <c r="AH2449" s="370">
        <v>3012.96</v>
      </c>
    </row>
    <row r="2450" spans="32:34">
      <c r="AF2450" s="367">
        <f t="shared" si="38"/>
        <v>42248</v>
      </c>
      <c r="AG2450" s="368">
        <v>42260</v>
      </c>
      <c r="AH2450" s="370">
        <v>3012.96</v>
      </c>
    </row>
    <row r="2451" spans="32:34">
      <c r="AF2451" s="367">
        <f t="shared" si="38"/>
        <v>42248</v>
      </c>
      <c r="AG2451" s="368">
        <v>42261</v>
      </c>
      <c r="AH2451" s="370">
        <v>3012.96</v>
      </c>
    </row>
    <row r="2452" spans="32:34">
      <c r="AF2452" s="367">
        <f t="shared" si="38"/>
        <v>42248</v>
      </c>
      <c r="AG2452" s="368">
        <v>42262</v>
      </c>
      <c r="AH2452" s="370">
        <v>3032.59</v>
      </c>
    </row>
    <row r="2453" spans="32:34">
      <c r="AF2453" s="367">
        <f t="shared" si="38"/>
        <v>42248</v>
      </c>
      <c r="AG2453" s="368">
        <v>42263</v>
      </c>
      <c r="AH2453" s="370">
        <v>3025.28</v>
      </c>
    </row>
    <row r="2454" spans="32:34">
      <c r="AF2454" s="367">
        <f t="shared" si="38"/>
        <v>42248</v>
      </c>
      <c r="AG2454" s="368">
        <v>42264</v>
      </c>
      <c r="AH2454" s="370">
        <v>2989.04</v>
      </c>
    </row>
    <row r="2455" spans="32:34">
      <c r="AF2455" s="367">
        <f t="shared" si="38"/>
        <v>42248</v>
      </c>
      <c r="AG2455" s="368">
        <v>42265</v>
      </c>
      <c r="AH2455" s="370">
        <v>2975.13</v>
      </c>
    </row>
    <row r="2456" spans="32:34">
      <c r="AF2456" s="367">
        <f t="shared" si="38"/>
        <v>42248</v>
      </c>
      <c r="AG2456" s="368">
        <v>42266</v>
      </c>
      <c r="AH2456" s="370">
        <v>2984.9</v>
      </c>
    </row>
    <row r="2457" spans="32:34">
      <c r="AF2457" s="367">
        <f t="shared" si="38"/>
        <v>42248</v>
      </c>
      <c r="AG2457" s="368">
        <v>42267</v>
      </c>
      <c r="AH2457" s="370">
        <v>2984.9</v>
      </c>
    </row>
    <row r="2458" spans="32:34">
      <c r="AF2458" s="367">
        <f t="shared" si="38"/>
        <v>42248</v>
      </c>
      <c r="AG2458" s="368">
        <v>42268</v>
      </c>
      <c r="AH2458" s="370">
        <v>2984.9</v>
      </c>
    </row>
    <row r="2459" spans="32:34">
      <c r="AF2459" s="367">
        <f t="shared" si="38"/>
        <v>42248</v>
      </c>
      <c r="AG2459" s="368">
        <v>42269</v>
      </c>
      <c r="AH2459" s="370">
        <v>3001.68</v>
      </c>
    </row>
    <row r="2460" spans="32:34">
      <c r="AF2460" s="367">
        <f t="shared" si="38"/>
        <v>42248</v>
      </c>
      <c r="AG2460" s="368">
        <v>42270</v>
      </c>
      <c r="AH2460" s="370">
        <v>3065.74</v>
      </c>
    </row>
    <row r="2461" spans="32:34">
      <c r="AF2461" s="367">
        <f t="shared" si="38"/>
        <v>42248</v>
      </c>
      <c r="AG2461" s="368">
        <v>42271</v>
      </c>
      <c r="AH2461" s="370">
        <v>3099.28</v>
      </c>
    </row>
    <row r="2462" spans="32:34">
      <c r="AF2462" s="367">
        <f t="shared" si="38"/>
        <v>42248</v>
      </c>
      <c r="AG2462" s="368">
        <v>42272</v>
      </c>
      <c r="AH2462" s="370">
        <v>3135.17</v>
      </c>
    </row>
    <row r="2463" spans="32:34">
      <c r="AF2463" s="367">
        <f t="shared" si="38"/>
        <v>42248</v>
      </c>
      <c r="AG2463" s="368">
        <v>42273</v>
      </c>
      <c r="AH2463" s="370">
        <v>3080.44</v>
      </c>
    </row>
    <row r="2464" spans="32:34">
      <c r="AF2464" s="367">
        <f t="shared" si="38"/>
        <v>42248</v>
      </c>
      <c r="AG2464" s="368">
        <v>42274</v>
      </c>
      <c r="AH2464" s="370">
        <v>3080.44</v>
      </c>
    </row>
    <row r="2465" spans="32:34">
      <c r="AF2465" s="367">
        <f t="shared" si="38"/>
        <v>42248</v>
      </c>
      <c r="AG2465" s="368">
        <v>42275</v>
      </c>
      <c r="AH2465" s="370">
        <v>3080.44</v>
      </c>
    </row>
    <row r="2466" spans="32:34">
      <c r="AF2466" s="367">
        <f t="shared" si="38"/>
        <v>42248</v>
      </c>
      <c r="AG2466" s="368">
        <v>42276</v>
      </c>
      <c r="AH2466" s="370">
        <v>3096.98</v>
      </c>
    </row>
    <row r="2467" spans="32:34">
      <c r="AF2467" s="367">
        <f t="shared" si="38"/>
        <v>42248</v>
      </c>
      <c r="AG2467" s="368">
        <v>42277</v>
      </c>
      <c r="AH2467" s="370">
        <v>3121.94</v>
      </c>
    </row>
    <row r="2468" spans="32:34">
      <c r="AF2468" s="367">
        <f t="shared" si="38"/>
        <v>42278</v>
      </c>
      <c r="AG2468" s="368">
        <v>42278</v>
      </c>
      <c r="AH2468" s="370">
        <v>3086.75</v>
      </c>
    </row>
    <row r="2469" spans="32:34">
      <c r="AF2469" s="367">
        <f t="shared" si="38"/>
        <v>42278</v>
      </c>
      <c r="AG2469" s="368">
        <v>42279</v>
      </c>
      <c r="AH2469" s="370">
        <v>3061.85</v>
      </c>
    </row>
    <row r="2470" spans="32:34">
      <c r="AF2470" s="367">
        <f t="shared" si="38"/>
        <v>42278</v>
      </c>
      <c r="AG2470" s="368">
        <v>42280</v>
      </c>
      <c r="AH2470" s="370">
        <v>3034.9</v>
      </c>
    </row>
    <row r="2471" spans="32:34">
      <c r="AF2471" s="367">
        <f t="shared" si="38"/>
        <v>42278</v>
      </c>
      <c r="AG2471" s="368">
        <v>42281</v>
      </c>
      <c r="AH2471" s="370">
        <v>3034.9</v>
      </c>
    </row>
    <row r="2472" spans="32:34">
      <c r="AF2472" s="367">
        <f t="shared" si="38"/>
        <v>42278</v>
      </c>
      <c r="AG2472" s="368">
        <v>42282</v>
      </c>
      <c r="AH2472" s="370">
        <v>3034.9</v>
      </c>
    </row>
    <row r="2473" spans="32:34">
      <c r="AF2473" s="367">
        <f t="shared" si="38"/>
        <v>42278</v>
      </c>
      <c r="AG2473" s="368">
        <v>42283</v>
      </c>
      <c r="AH2473" s="370">
        <v>2971.15</v>
      </c>
    </row>
    <row r="2474" spans="32:34">
      <c r="AF2474" s="367">
        <f t="shared" si="38"/>
        <v>42278</v>
      </c>
      <c r="AG2474" s="368">
        <v>42284</v>
      </c>
      <c r="AH2474" s="370">
        <v>2913.74</v>
      </c>
    </row>
    <row r="2475" spans="32:34">
      <c r="AF2475" s="367">
        <f t="shared" si="38"/>
        <v>42278</v>
      </c>
      <c r="AG2475" s="368">
        <v>42285</v>
      </c>
      <c r="AH2475" s="370">
        <v>2891.91</v>
      </c>
    </row>
    <row r="2476" spans="32:34">
      <c r="AF2476" s="367">
        <f t="shared" si="38"/>
        <v>42278</v>
      </c>
      <c r="AG2476" s="368">
        <v>42286</v>
      </c>
      <c r="AH2476" s="370">
        <v>2887.21</v>
      </c>
    </row>
    <row r="2477" spans="32:34">
      <c r="AF2477" s="367">
        <f t="shared" si="38"/>
        <v>42278</v>
      </c>
      <c r="AG2477" s="368">
        <v>42287</v>
      </c>
      <c r="AH2477" s="370">
        <v>2855.74</v>
      </c>
    </row>
    <row r="2478" spans="32:34">
      <c r="AF2478" s="367">
        <f t="shared" si="38"/>
        <v>42278</v>
      </c>
      <c r="AG2478" s="368">
        <v>42288</v>
      </c>
      <c r="AH2478" s="370">
        <v>2855.74</v>
      </c>
    </row>
    <row r="2479" spans="32:34">
      <c r="AF2479" s="367">
        <f t="shared" si="38"/>
        <v>42278</v>
      </c>
      <c r="AG2479" s="368">
        <v>42289</v>
      </c>
      <c r="AH2479" s="370">
        <v>2855.74</v>
      </c>
    </row>
    <row r="2480" spans="32:34">
      <c r="AF2480" s="367">
        <f t="shared" si="38"/>
        <v>42278</v>
      </c>
      <c r="AG2480" s="368">
        <v>42290</v>
      </c>
      <c r="AH2480" s="370">
        <v>2855.74</v>
      </c>
    </row>
    <row r="2481" spans="32:34">
      <c r="AF2481" s="367">
        <f t="shared" si="38"/>
        <v>42278</v>
      </c>
      <c r="AG2481" s="368">
        <v>42291</v>
      </c>
      <c r="AH2481" s="370">
        <v>2910.7</v>
      </c>
    </row>
    <row r="2482" spans="32:34">
      <c r="AF2482" s="367">
        <f t="shared" si="38"/>
        <v>42278</v>
      </c>
      <c r="AG2482" s="368">
        <v>42292</v>
      </c>
      <c r="AH2482" s="370">
        <v>2928.69</v>
      </c>
    </row>
    <row r="2483" spans="32:34">
      <c r="AF2483" s="367">
        <f t="shared" si="38"/>
        <v>42278</v>
      </c>
      <c r="AG2483" s="368">
        <v>42293</v>
      </c>
      <c r="AH2483" s="370">
        <v>2908.87</v>
      </c>
    </row>
    <row r="2484" spans="32:34">
      <c r="AF2484" s="367">
        <f t="shared" si="38"/>
        <v>42278</v>
      </c>
      <c r="AG2484" s="368">
        <v>42294</v>
      </c>
      <c r="AH2484" s="370">
        <v>2879.89</v>
      </c>
    </row>
    <row r="2485" spans="32:34">
      <c r="AF2485" s="367">
        <f t="shared" si="38"/>
        <v>42278</v>
      </c>
      <c r="AG2485" s="368">
        <v>42295</v>
      </c>
      <c r="AH2485" s="370">
        <v>2879.89</v>
      </c>
    </row>
    <row r="2486" spans="32:34">
      <c r="AF2486" s="367">
        <f t="shared" si="38"/>
        <v>42278</v>
      </c>
      <c r="AG2486" s="368">
        <v>42296</v>
      </c>
      <c r="AH2486" s="370">
        <v>2879.89</v>
      </c>
    </row>
    <row r="2487" spans="32:34">
      <c r="AF2487" s="367">
        <f t="shared" si="38"/>
        <v>42278</v>
      </c>
      <c r="AG2487" s="368">
        <v>42297</v>
      </c>
      <c r="AH2487" s="370">
        <v>2912.99</v>
      </c>
    </row>
    <row r="2488" spans="32:34">
      <c r="AF2488" s="367">
        <f t="shared" si="38"/>
        <v>42278</v>
      </c>
      <c r="AG2488" s="368">
        <v>42298</v>
      </c>
      <c r="AH2488" s="370">
        <v>2929.19</v>
      </c>
    </row>
    <row r="2489" spans="32:34">
      <c r="AF2489" s="367">
        <f t="shared" si="38"/>
        <v>42278</v>
      </c>
      <c r="AG2489" s="368">
        <v>42299</v>
      </c>
      <c r="AH2489" s="370">
        <v>2966.68</v>
      </c>
    </row>
    <row r="2490" spans="32:34">
      <c r="AF2490" s="367">
        <f t="shared" si="38"/>
        <v>42278</v>
      </c>
      <c r="AG2490" s="368">
        <v>42300</v>
      </c>
      <c r="AH2490" s="370">
        <v>2925.36</v>
      </c>
    </row>
    <row r="2491" spans="32:34">
      <c r="AF2491" s="367">
        <f t="shared" si="38"/>
        <v>42278</v>
      </c>
      <c r="AG2491" s="368">
        <v>42301</v>
      </c>
      <c r="AH2491" s="370">
        <v>2912.08</v>
      </c>
    </row>
    <row r="2492" spans="32:34">
      <c r="AF2492" s="367">
        <f t="shared" si="38"/>
        <v>42278</v>
      </c>
      <c r="AG2492" s="368">
        <v>42302</v>
      </c>
      <c r="AH2492" s="370">
        <v>2912.08</v>
      </c>
    </row>
    <row r="2493" spans="32:34">
      <c r="AF2493" s="367">
        <f t="shared" si="38"/>
        <v>42278</v>
      </c>
      <c r="AG2493" s="368">
        <v>42303</v>
      </c>
      <c r="AH2493" s="370">
        <v>2912.08</v>
      </c>
    </row>
    <row r="2494" spans="32:34">
      <c r="AF2494" s="367">
        <f t="shared" si="38"/>
        <v>42278</v>
      </c>
      <c r="AG2494" s="368">
        <v>42304</v>
      </c>
      <c r="AH2494" s="370">
        <v>2918.21</v>
      </c>
    </row>
    <row r="2495" spans="32:34">
      <c r="AF2495" s="367">
        <f t="shared" si="38"/>
        <v>42278</v>
      </c>
      <c r="AG2495" s="368">
        <v>42305</v>
      </c>
      <c r="AH2495" s="370">
        <v>2950.87</v>
      </c>
    </row>
    <row r="2496" spans="32:34">
      <c r="AF2496" s="367">
        <f t="shared" si="38"/>
        <v>42278</v>
      </c>
      <c r="AG2496" s="368">
        <v>42306</v>
      </c>
      <c r="AH2496" s="370">
        <v>2926.75</v>
      </c>
    </row>
    <row r="2497" spans="32:34">
      <c r="AF2497" s="367">
        <f t="shared" si="38"/>
        <v>42278</v>
      </c>
      <c r="AG2497" s="368">
        <v>42307</v>
      </c>
      <c r="AH2497" s="370">
        <v>2921.32</v>
      </c>
    </row>
    <row r="2498" spans="32:34">
      <c r="AF2498" s="367">
        <f t="shared" si="38"/>
        <v>42278</v>
      </c>
      <c r="AG2498" s="368">
        <v>42308</v>
      </c>
      <c r="AH2498" s="370">
        <v>2897.83</v>
      </c>
    </row>
    <row r="2499" spans="32:34">
      <c r="AF2499" s="367">
        <f t="shared" si="38"/>
        <v>42309</v>
      </c>
      <c r="AG2499" s="368">
        <v>42309</v>
      </c>
      <c r="AH2499" s="370">
        <v>2897.83</v>
      </c>
    </row>
    <row r="2500" spans="32:34">
      <c r="AF2500" s="367">
        <f t="shared" ref="AF2500:AF2563" si="39">+DATE(YEAR(AG2500),MONTH(AG2500),1)</f>
        <v>42309</v>
      </c>
      <c r="AG2500" s="368">
        <v>42310</v>
      </c>
      <c r="AH2500" s="370">
        <v>2897.83</v>
      </c>
    </row>
    <row r="2501" spans="32:34">
      <c r="AF2501" s="367">
        <f t="shared" si="39"/>
        <v>42309</v>
      </c>
      <c r="AG2501" s="368">
        <v>42311</v>
      </c>
      <c r="AH2501" s="370">
        <v>2897.83</v>
      </c>
    </row>
    <row r="2502" spans="32:34">
      <c r="AF2502" s="367">
        <f t="shared" si="39"/>
        <v>42309</v>
      </c>
      <c r="AG2502" s="368">
        <v>42312</v>
      </c>
      <c r="AH2502" s="370">
        <v>2825.25</v>
      </c>
    </row>
    <row r="2503" spans="32:34">
      <c r="AF2503" s="367">
        <f t="shared" si="39"/>
        <v>42309</v>
      </c>
      <c r="AG2503" s="368">
        <v>42313</v>
      </c>
      <c r="AH2503" s="370">
        <v>2819.63</v>
      </c>
    </row>
    <row r="2504" spans="32:34">
      <c r="AF2504" s="367">
        <f t="shared" si="39"/>
        <v>42309</v>
      </c>
      <c r="AG2504" s="368">
        <v>42314</v>
      </c>
      <c r="AH2504" s="370">
        <v>2853.32</v>
      </c>
    </row>
    <row r="2505" spans="32:34">
      <c r="AF2505" s="367">
        <f t="shared" si="39"/>
        <v>42309</v>
      </c>
      <c r="AG2505" s="368">
        <v>42315</v>
      </c>
      <c r="AH2505" s="370">
        <v>2896.19</v>
      </c>
    </row>
    <row r="2506" spans="32:34">
      <c r="AF2506" s="367">
        <f t="shared" si="39"/>
        <v>42309</v>
      </c>
      <c r="AG2506" s="368">
        <v>42316</v>
      </c>
      <c r="AH2506" s="370">
        <v>2896.19</v>
      </c>
    </row>
    <row r="2507" spans="32:34">
      <c r="AF2507" s="367">
        <f t="shared" si="39"/>
        <v>42309</v>
      </c>
      <c r="AG2507" s="368">
        <v>42317</v>
      </c>
      <c r="AH2507" s="370">
        <v>2896.19</v>
      </c>
    </row>
    <row r="2508" spans="32:34">
      <c r="AF2508" s="367">
        <f t="shared" si="39"/>
        <v>42309</v>
      </c>
      <c r="AG2508" s="368">
        <v>42318</v>
      </c>
      <c r="AH2508" s="370">
        <v>2921.15</v>
      </c>
    </row>
    <row r="2509" spans="32:34">
      <c r="AF2509" s="367">
        <f t="shared" si="39"/>
        <v>42309</v>
      </c>
      <c r="AG2509" s="368">
        <v>42319</v>
      </c>
      <c r="AH2509" s="370">
        <v>2935.86</v>
      </c>
    </row>
    <row r="2510" spans="32:34">
      <c r="AF2510" s="367">
        <f t="shared" si="39"/>
        <v>42309</v>
      </c>
      <c r="AG2510" s="368">
        <v>42320</v>
      </c>
      <c r="AH2510" s="370">
        <v>2935.86</v>
      </c>
    </row>
    <row r="2511" spans="32:34">
      <c r="AF2511" s="367">
        <f t="shared" si="39"/>
        <v>42309</v>
      </c>
      <c r="AG2511" s="368">
        <v>42321</v>
      </c>
      <c r="AH2511" s="370">
        <v>3009.36</v>
      </c>
    </row>
    <row r="2512" spans="32:34">
      <c r="AF2512" s="367">
        <f t="shared" si="39"/>
        <v>42309</v>
      </c>
      <c r="AG2512" s="368">
        <v>42322</v>
      </c>
      <c r="AH2512" s="370">
        <v>3073.23</v>
      </c>
    </row>
    <row r="2513" spans="32:34">
      <c r="AF2513" s="367">
        <f t="shared" si="39"/>
        <v>42309</v>
      </c>
      <c r="AG2513" s="368">
        <v>42323</v>
      </c>
      <c r="AH2513" s="370">
        <v>3073.23</v>
      </c>
    </row>
    <row r="2514" spans="32:34">
      <c r="AF2514" s="367">
        <f t="shared" si="39"/>
        <v>42309</v>
      </c>
      <c r="AG2514" s="368">
        <v>42324</v>
      </c>
      <c r="AH2514" s="370">
        <v>3073.23</v>
      </c>
    </row>
    <row r="2515" spans="32:34">
      <c r="AF2515" s="367">
        <f t="shared" si="39"/>
        <v>42309</v>
      </c>
      <c r="AG2515" s="368">
        <v>42325</v>
      </c>
      <c r="AH2515" s="370">
        <v>3073.23</v>
      </c>
    </row>
    <row r="2516" spans="32:34">
      <c r="AF2516" s="367">
        <f t="shared" si="39"/>
        <v>42309</v>
      </c>
      <c r="AG2516" s="368">
        <v>42326</v>
      </c>
      <c r="AH2516" s="370">
        <v>3069.24</v>
      </c>
    </row>
    <row r="2517" spans="32:34">
      <c r="AF2517" s="367">
        <f t="shared" si="39"/>
        <v>42309</v>
      </c>
      <c r="AG2517" s="368">
        <v>42327</v>
      </c>
      <c r="AH2517" s="370">
        <v>3108.7</v>
      </c>
    </row>
    <row r="2518" spans="32:34">
      <c r="AF2518" s="367">
        <f t="shared" si="39"/>
        <v>42309</v>
      </c>
      <c r="AG2518" s="368">
        <v>42328</v>
      </c>
      <c r="AH2518" s="370">
        <v>3082.04</v>
      </c>
    </row>
    <row r="2519" spans="32:34">
      <c r="AF2519" s="367">
        <f t="shared" si="39"/>
        <v>42309</v>
      </c>
      <c r="AG2519" s="368">
        <v>42329</v>
      </c>
      <c r="AH2519" s="370">
        <v>3047.31</v>
      </c>
    </row>
    <row r="2520" spans="32:34">
      <c r="AF2520" s="367">
        <f t="shared" si="39"/>
        <v>42309</v>
      </c>
      <c r="AG2520" s="368">
        <v>42330</v>
      </c>
      <c r="AH2520" s="370">
        <v>3047.31</v>
      </c>
    </row>
    <row r="2521" spans="32:34">
      <c r="AF2521" s="367">
        <f t="shared" si="39"/>
        <v>42309</v>
      </c>
      <c r="AG2521" s="368">
        <v>42331</v>
      </c>
      <c r="AH2521" s="370">
        <v>3047.31</v>
      </c>
    </row>
    <row r="2522" spans="32:34">
      <c r="AF2522" s="367">
        <f t="shared" si="39"/>
        <v>42309</v>
      </c>
      <c r="AG2522" s="368">
        <v>42332</v>
      </c>
      <c r="AH2522" s="370">
        <v>3086.82</v>
      </c>
    </row>
    <row r="2523" spans="32:34">
      <c r="AF2523" s="367">
        <f t="shared" si="39"/>
        <v>42309</v>
      </c>
      <c r="AG2523" s="368">
        <v>42333</v>
      </c>
      <c r="AH2523" s="370">
        <v>3074.35</v>
      </c>
    </row>
    <row r="2524" spans="32:34">
      <c r="AF2524" s="367">
        <f t="shared" si="39"/>
        <v>42309</v>
      </c>
      <c r="AG2524" s="368">
        <v>42334</v>
      </c>
      <c r="AH2524" s="370">
        <v>3099.75</v>
      </c>
    </row>
    <row r="2525" spans="32:34">
      <c r="AF2525" s="367">
        <f t="shared" si="39"/>
        <v>42309</v>
      </c>
      <c r="AG2525" s="368">
        <v>42335</v>
      </c>
      <c r="AH2525" s="370">
        <v>3099.75</v>
      </c>
    </row>
    <row r="2526" spans="32:34">
      <c r="AF2526" s="367">
        <f t="shared" si="39"/>
        <v>42309</v>
      </c>
      <c r="AG2526" s="368">
        <v>42336</v>
      </c>
      <c r="AH2526" s="370">
        <v>3101.1</v>
      </c>
    </row>
    <row r="2527" spans="32:34">
      <c r="AF2527" s="367">
        <f t="shared" si="39"/>
        <v>42309</v>
      </c>
      <c r="AG2527" s="368">
        <v>42337</v>
      </c>
      <c r="AH2527" s="370">
        <v>3101.1</v>
      </c>
    </row>
    <row r="2528" spans="32:34">
      <c r="AF2528" s="367">
        <f t="shared" si="39"/>
        <v>42309</v>
      </c>
      <c r="AG2528" s="368">
        <v>42338</v>
      </c>
      <c r="AH2528" s="370">
        <v>3101.1</v>
      </c>
    </row>
    <row r="2529" spans="32:34">
      <c r="AF2529" s="367">
        <f t="shared" si="39"/>
        <v>42339</v>
      </c>
      <c r="AG2529" s="368">
        <v>42339</v>
      </c>
      <c r="AH2529" s="370">
        <v>3142.11</v>
      </c>
    </row>
    <row r="2530" spans="32:34">
      <c r="AF2530" s="367">
        <f t="shared" si="39"/>
        <v>42339</v>
      </c>
      <c r="AG2530" s="368">
        <v>42340</v>
      </c>
      <c r="AH2530" s="370">
        <v>3131.95</v>
      </c>
    </row>
    <row r="2531" spans="32:34">
      <c r="AF2531" s="367">
        <f t="shared" si="39"/>
        <v>42339</v>
      </c>
      <c r="AG2531" s="368">
        <v>42341</v>
      </c>
      <c r="AH2531" s="370">
        <v>3166.67</v>
      </c>
    </row>
    <row r="2532" spans="32:34">
      <c r="AF2532" s="367">
        <f t="shared" si="39"/>
        <v>42339</v>
      </c>
      <c r="AG2532" s="368">
        <v>42342</v>
      </c>
      <c r="AH2532" s="370">
        <v>3149.12</v>
      </c>
    </row>
    <row r="2533" spans="32:34">
      <c r="AF2533" s="367">
        <f t="shared" si="39"/>
        <v>42339</v>
      </c>
      <c r="AG2533" s="368">
        <v>42343</v>
      </c>
      <c r="AH2533" s="370">
        <v>3179.22</v>
      </c>
    </row>
    <row r="2534" spans="32:34">
      <c r="AF2534" s="367">
        <f t="shared" si="39"/>
        <v>42339</v>
      </c>
      <c r="AG2534" s="368">
        <v>42344</v>
      </c>
      <c r="AH2534" s="370">
        <v>3179.22</v>
      </c>
    </row>
    <row r="2535" spans="32:34">
      <c r="AF2535" s="367">
        <f t="shared" si="39"/>
        <v>42339</v>
      </c>
      <c r="AG2535" s="368">
        <v>42345</v>
      </c>
      <c r="AH2535" s="370">
        <v>3179.22</v>
      </c>
    </row>
    <row r="2536" spans="32:34">
      <c r="AF2536" s="367">
        <f t="shared" si="39"/>
        <v>42339</v>
      </c>
      <c r="AG2536" s="368">
        <v>42346</v>
      </c>
      <c r="AH2536" s="370">
        <v>3287.03</v>
      </c>
    </row>
    <row r="2537" spans="32:34">
      <c r="AF2537" s="367">
        <f t="shared" si="39"/>
        <v>42339</v>
      </c>
      <c r="AG2537" s="368">
        <v>42347</v>
      </c>
      <c r="AH2537" s="370">
        <v>3287.03</v>
      </c>
    </row>
    <row r="2538" spans="32:34">
      <c r="AF2538" s="367">
        <f t="shared" si="39"/>
        <v>42339</v>
      </c>
      <c r="AG2538" s="368">
        <v>42348</v>
      </c>
      <c r="AH2538" s="370">
        <v>3294.02</v>
      </c>
    </row>
    <row r="2539" spans="32:34">
      <c r="AF2539" s="367">
        <f t="shared" si="39"/>
        <v>42339</v>
      </c>
      <c r="AG2539" s="368">
        <v>42349</v>
      </c>
      <c r="AH2539" s="370">
        <v>3259.56</v>
      </c>
    </row>
    <row r="2540" spans="32:34">
      <c r="AF2540" s="367">
        <f t="shared" si="39"/>
        <v>42339</v>
      </c>
      <c r="AG2540" s="368">
        <v>42350</v>
      </c>
      <c r="AH2540" s="370">
        <v>3299.36</v>
      </c>
    </row>
    <row r="2541" spans="32:34">
      <c r="AF2541" s="367">
        <f t="shared" si="39"/>
        <v>42339</v>
      </c>
      <c r="AG2541" s="368">
        <v>42351</v>
      </c>
      <c r="AH2541" s="370">
        <v>3299.36</v>
      </c>
    </row>
    <row r="2542" spans="32:34">
      <c r="AF2542" s="367">
        <f t="shared" si="39"/>
        <v>42339</v>
      </c>
      <c r="AG2542" s="368">
        <v>42352</v>
      </c>
      <c r="AH2542" s="370">
        <v>3299.36</v>
      </c>
    </row>
    <row r="2543" spans="32:34">
      <c r="AF2543" s="367">
        <f t="shared" si="39"/>
        <v>42339</v>
      </c>
      <c r="AG2543" s="368">
        <v>42353</v>
      </c>
      <c r="AH2543" s="370">
        <v>3356</v>
      </c>
    </row>
    <row r="2544" spans="32:34">
      <c r="AF2544" s="367">
        <f t="shared" si="39"/>
        <v>42339</v>
      </c>
      <c r="AG2544" s="368">
        <v>42354</v>
      </c>
      <c r="AH2544" s="370">
        <v>3328.08</v>
      </c>
    </row>
    <row r="2545" spans="32:34">
      <c r="AF2545" s="367">
        <f t="shared" si="39"/>
        <v>42339</v>
      </c>
      <c r="AG2545" s="368">
        <v>42355</v>
      </c>
      <c r="AH2545" s="370">
        <v>3317.72</v>
      </c>
    </row>
    <row r="2546" spans="32:34">
      <c r="AF2546" s="367">
        <f t="shared" si="39"/>
        <v>42339</v>
      </c>
      <c r="AG2546" s="368">
        <v>42356</v>
      </c>
      <c r="AH2546" s="370">
        <v>3333.37</v>
      </c>
    </row>
    <row r="2547" spans="32:34">
      <c r="AF2547" s="367">
        <f t="shared" si="39"/>
        <v>42339</v>
      </c>
      <c r="AG2547" s="368">
        <v>42357</v>
      </c>
      <c r="AH2547" s="370">
        <v>3337.68</v>
      </c>
    </row>
    <row r="2548" spans="32:34">
      <c r="AF2548" s="367">
        <f t="shared" si="39"/>
        <v>42339</v>
      </c>
      <c r="AG2548" s="368">
        <v>42358</v>
      </c>
      <c r="AH2548" s="370">
        <v>3337.68</v>
      </c>
    </row>
    <row r="2549" spans="32:34">
      <c r="AF2549" s="367">
        <f t="shared" si="39"/>
        <v>42339</v>
      </c>
      <c r="AG2549" s="368">
        <v>42359</v>
      </c>
      <c r="AH2549" s="370">
        <v>3337.68</v>
      </c>
    </row>
    <row r="2550" spans="32:34">
      <c r="AF2550" s="367">
        <f t="shared" si="39"/>
        <v>42339</v>
      </c>
      <c r="AG2550" s="368">
        <v>42360</v>
      </c>
      <c r="AH2550" s="370">
        <v>3332.7</v>
      </c>
    </row>
    <row r="2551" spans="32:34">
      <c r="AF2551" s="367">
        <f t="shared" si="39"/>
        <v>42339</v>
      </c>
      <c r="AG2551" s="368">
        <v>42361</v>
      </c>
      <c r="AH2551" s="370">
        <v>3307.24</v>
      </c>
    </row>
    <row r="2552" spans="32:34">
      <c r="AF2552" s="367">
        <f t="shared" si="39"/>
        <v>42339</v>
      </c>
      <c r="AG2552" s="368">
        <v>42362</v>
      </c>
      <c r="AH2552" s="370">
        <v>3255.19</v>
      </c>
    </row>
    <row r="2553" spans="32:34">
      <c r="AF2553" s="367">
        <f t="shared" si="39"/>
        <v>42339</v>
      </c>
      <c r="AG2553" s="368">
        <v>42363</v>
      </c>
      <c r="AH2553" s="370">
        <v>3172.03</v>
      </c>
    </row>
    <row r="2554" spans="32:34">
      <c r="AF2554" s="367">
        <f t="shared" si="39"/>
        <v>42339</v>
      </c>
      <c r="AG2554" s="368">
        <v>42364</v>
      </c>
      <c r="AH2554" s="370">
        <v>3172.03</v>
      </c>
    </row>
    <row r="2555" spans="32:34">
      <c r="AF2555" s="367">
        <f t="shared" si="39"/>
        <v>42339</v>
      </c>
      <c r="AG2555" s="368">
        <v>42365</v>
      </c>
      <c r="AH2555" s="370">
        <v>3172.03</v>
      </c>
    </row>
    <row r="2556" spans="32:34">
      <c r="AF2556" s="367">
        <f t="shared" si="39"/>
        <v>42339</v>
      </c>
      <c r="AG2556" s="368">
        <v>42366</v>
      </c>
      <c r="AH2556" s="370">
        <v>3172.03</v>
      </c>
    </row>
    <row r="2557" spans="32:34">
      <c r="AF2557" s="367">
        <f t="shared" si="39"/>
        <v>42339</v>
      </c>
      <c r="AG2557" s="368">
        <v>42367</v>
      </c>
      <c r="AH2557" s="370">
        <v>3180.87</v>
      </c>
    </row>
    <row r="2558" spans="32:34">
      <c r="AF2558" s="367">
        <f t="shared" si="39"/>
        <v>42339</v>
      </c>
      <c r="AG2558" s="368">
        <v>42368</v>
      </c>
      <c r="AH2558" s="370">
        <v>3155.22</v>
      </c>
    </row>
    <row r="2559" spans="32:34">
      <c r="AF2559" s="367">
        <f t="shared" si="39"/>
        <v>42339</v>
      </c>
      <c r="AG2559" s="368">
        <v>42369</v>
      </c>
      <c r="AH2559" s="370">
        <v>3149.47</v>
      </c>
    </row>
    <row r="2560" spans="32:34">
      <c r="AF2560" s="367">
        <f t="shared" si="39"/>
        <v>42370</v>
      </c>
      <c r="AG2560" s="368">
        <v>42370</v>
      </c>
      <c r="AH2560" s="370">
        <v>3149.47</v>
      </c>
    </row>
    <row r="2561" spans="32:34">
      <c r="AF2561" s="367">
        <f t="shared" si="39"/>
        <v>42370</v>
      </c>
      <c r="AG2561" s="368">
        <v>42371</v>
      </c>
      <c r="AH2561" s="370">
        <v>3149.47</v>
      </c>
    </row>
    <row r="2562" spans="32:34">
      <c r="AF2562" s="367">
        <f t="shared" si="39"/>
        <v>42370</v>
      </c>
      <c r="AG2562" s="368">
        <v>42372</v>
      </c>
      <c r="AH2562" s="370">
        <v>3149.47</v>
      </c>
    </row>
    <row r="2563" spans="32:34">
      <c r="AF2563" s="367">
        <f t="shared" si="39"/>
        <v>42370</v>
      </c>
      <c r="AG2563" s="368">
        <v>42373</v>
      </c>
      <c r="AH2563" s="370">
        <v>3149.47</v>
      </c>
    </row>
    <row r="2564" spans="32:34">
      <c r="AF2564" s="367">
        <f t="shared" ref="AF2564:AF2627" si="40">+DATE(YEAR(AG2564),MONTH(AG2564),1)</f>
        <v>42370</v>
      </c>
      <c r="AG2564" s="368">
        <v>42374</v>
      </c>
      <c r="AH2564" s="370">
        <v>3213.24</v>
      </c>
    </row>
    <row r="2565" spans="32:34">
      <c r="AF2565" s="367">
        <f t="shared" si="40"/>
        <v>42370</v>
      </c>
      <c r="AG2565" s="368">
        <v>42375</v>
      </c>
      <c r="AH2565" s="370">
        <v>3203.86</v>
      </c>
    </row>
    <row r="2566" spans="32:34">
      <c r="AF2566" s="367">
        <f t="shared" si="40"/>
        <v>42370</v>
      </c>
      <c r="AG2566" s="368">
        <v>42376</v>
      </c>
      <c r="AH2566" s="370">
        <v>3250.69</v>
      </c>
    </row>
    <row r="2567" spans="32:34">
      <c r="AF2567" s="367">
        <f t="shared" si="40"/>
        <v>42370</v>
      </c>
      <c r="AG2567" s="368">
        <v>42377</v>
      </c>
      <c r="AH2567" s="370">
        <v>3287.28</v>
      </c>
    </row>
    <row r="2568" spans="32:34">
      <c r="AF2568" s="367">
        <f t="shared" si="40"/>
        <v>42370</v>
      </c>
      <c r="AG2568" s="368">
        <v>42378</v>
      </c>
      <c r="AH2568" s="370">
        <v>3268.37</v>
      </c>
    </row>
    <row r="2569" spans="32:34">
      <c r="AF2569" s="367">
        <f t="shared" si="40"/>
        <v>42370</v>
      </c>
      <c r="AG2569" s="368">
        <v>42379</v>
      </c>
      <c r="AH2569" s="370">
        <v>3268.37</v>
      </c>
    </row>
    <row r="2570" spans="32:34">
      <c r="AF2570" s="367">
        <f t="shared" si="40"/>
        <v>42370</v>
      </c>
      <c r="AG2570" s="368">
        <v>42380</v>
      </c>
      <c r="AH2570" s="370">
        <v>3268.37</v>
      </c>
    </row>
    <row r="2571" spans="32:34">
      <c r="AF2571" s="367">
        <f t="shared" si="40"/>
        <v>42370</v>
      </c>
      <c r="AG2571" s="368">
        <v>42381</v>
      </c>
      <c r="AH2571" s="370">
        <v>3268.37</v>
      </c>
    </row>
    <row r="2572" spans="32:34">
      <c r="AF2572" s="367">
        <f t="shared" si="40"/>
        <v>42370</v>
      </c>
      <c r="AG2572" s="368">
        <v>42382</v>
      </c>
      <c r="AH2572" s="370">
        <v>3246.51</v>
      </c>
    </row>
    <row r="2573" spans="32:34">
      <c r="AF2573" s="367">
        <f t="shared" si="40"/>
        <v>42370</v>
      </c>
      <c r="AG2573" s="368">
        <v>42383</v>
      </c>
      <c r="AH2573" s="370">
        <v>3235.45</v>
      </c>
    </row>
    <row r="2574" spans="32:34">
      <c r="AF2574" s="367">
        <f t="shared" si="40"/>
        <v>42370</v>
      </c>
      <c r="AG2574" s="368">
        <v>42384</v>
      </c>
      <c r="AH2574" s="370">
        <v>3240.71</v>
      </c>
    </row>
    <row r="2575" spans="32:34">
      <c r="AF2575" s="367">
        <f t="shared" si="40"/>
        <v>42370</v>
      </c>
      <c r="AG2575" s="368">
        <v>42385</v>
      </c>
      <c r="AH2575" s="370">
        <v>3293.94</v>
      </c>
    </row>
    <row r="2576" spans="32:34">
      <c r="AF2576" s="367">
        <f t="shared" si="40"/>
        <v>42370</v>
      </c>
      <c r="AG2576" s="368">
        <v>42386</v>
      </c>
      <c r="AH2576" s="370">
        <v>3293.94</v>
      </c>
    </row>
    <row r="2577" spans="32:34">
      <c r="AF2577" s="367">
        <f t="shared" si="40"/>
        <v>42370</v>
      </c>
      <c r="AG2577" s="368">
        <v>42387</v>
      </c>
      <c r="AH2577" s="370">
        <v>3293.94</v>
      </c>
    </row>
    <row r="2578" spans="32:34">
      <c r="AF2578" s="367">
        <f t="shared" si="40"/>
        <v>42370</v>
      </c>
      <c r="AG2578" s="368">
        <v>42388</v>
      </c>
      <c r="AH2578" s="370">
        <v>3293.94</v>
      </c>
    </row>
    <row r="2579" spans="32:34">
      <c r="AF2579" s="367">
        <f t="shared" si="40"/>
        <v>42370</v>
      </c>
      <c r="AG2579" s="368">
        <v>42389</v>
      </c>
      <c r="AH2579" s="370">
        <v>3297.46</v>
      </c>
    </row>
    <row r="2580" spans="32:34">
      <c r="AF2580" s="367">
        <f t="shared" si="40"/>
        <v>42370</v>
      </c>
      <c r="AG2580" s="368">
        <v>42390</v>
      </c>
      <c r="AH2580" s="370">
        <v>3357.67</v>
      </c>
    </row>
    <row r="2581" spans="32:34">
      <c r="AF2581" s="367">
        <f t="shared" si="40"/>
        <v>42370</v>
      </c>
      <c r="AG2581" s="368">
        <v>42391</v>
      </c>
      <c r="AH2581" s="370">
        <v>3368.49</v>
      </c>
    </row>
    <row r="2582" spans="32:34">
      <c r="AF2582" s="367">
        <f t="shared" si="40"/>
        <v>42370</v>
      </c>
      <c r="AG2582" s="368">
        <v>42392</v>
      </c>
      <c r="AH2582" s="370">
        <v>3281.74</v>
      </c>
    </row>
    <row r="2583" spans="32:34">
      <c r="AF2583" s="367">
        <f t="shared" si="40"/>
        <v>42370</v>
      </c>
      <c r="AG2583" s="368">
        <v>42393</v>
      </c>
      <c r="AH2583" s="370">
        <v>3281.74</v>
      </c>
    </row>
    <row r="2584" spans="32:34">
      <c r="AF2584" s="367">
        <f t="shared" si="40"/>
        <v>42370</v>
      </c>
      <c r="AG2584" s="368">
        <v>42394</v>
      </c>
      <c r="AH2584" s="370">
        <v>3281.74</v>
      </c>
    </row>
    <row r="2585" spans="32:34">
      <c r="AF2585" s="367">
        <f t="shared" si="40"/>
        <v>42370</v>
      </c>
      <c r="AG2585" s="368">
        <v>42395</v>
      </c>
      <c r="AH2585" s="370">
        <v>3362.38</v>
      </c>
    </row>
    <row r="2586" spans="32:34">
      <c r="AF2586" s="367">
        <f t="shared" si="40"/>
        <v>42370</v>
      </c>
      <c r="AG2586" s="368">
        <v>42396</v>
      </c>
      <c r="AH2586" s="370">
        <v>3375.8</v>
      </c>
    </row>
    <row r="2587" spans="32:34">
      <c r="AF2587" s="367">
        <f t="shared" si="40"/>
        <v>42370</v>
      </c>
      <c r="AG2587" s="368">
        <v>42397</v>
      </c>
      <c r="AH2587" s="370">
        <v>3366.63</v>
      </c>
    </row>
    <row r="2588" spans="32:34">
      <c r="AF2588" s="367">
        <f t="shared" si="40"/>
        <v>42370</v>
      </c>
      <c r="AG2588" s="368">
        <v>42398</v>
      </c>
      <c r="AH2588" s="370">
        <v>3302.92</v>
      </c>
    </row>
    <row r="2589" spans="32:34">
      <c r="AF2589" s="367">
        <f t="shared" si="40"/>
        <v>42370</v>
      </c>
      <c r="AG2589" s="368">
        <v>42399</v>
      </c>
      <c r="AH2589" s="370">
        <v>3287.31</v>
      </c>
    </row>
    <row r="2590" spans="32:34">
      <c r="AF2590" s="367">
        <f t="shared" si="40"/>
        <v>42370</v>
      </c>
      <c r="AG2590" s="368">
        <v>42400</v>
      </c>
      <c r="AH2590" s="370">
        <v>3287.31</v>
      </c>
    </row>
    <row r="2591" spans="32:34">
      <c r="AF2591" s="367">
        <f t="shared" si="40"/>
        <v>42401</v>
      </c>
      <c r="AG2591" s="368">
        <v>42401</v>
      </c>
      <c r="AH2591" s="370">
        <v>3287.31</v>
      </c>
    </row>
    <row r="2592" spans="32:34">
      <c r="AF2592" s="367">
        <f t="shared" si="40"/>
        <v>42401</v>
      </c>
      <c r="AG2592" s="368">
        <v>42402</v>
      </c>
      <c r="AH2592" s="370">
        <v>3326.82</v>
      </c>
    </row>
    <row r="2593" spans="32:34">
      <c r="AF2593" s="367">
        <f t="shared" si="40"/>
        <v>42401</v>
      </c>
      <c r="AG2593" s="368">
        <v>42403</v>
      </c>
      <c r="AH2593" s="370">
        <v>3387.69</v>
      </c>
    </row>
    <row r="2594" spans="32:34">
      <c r="AF2594" s="367">
        <f t="shared" si="40"/>
        <v>42401</v>
      </c>
      <c r="AG2594" s="368">
        <v>42404</v>
      </c>
      <c r="AH2594" s="370">
        <v>3382.2</v>
      </c>
    </row>
    <row r="2595" spans="32:34">
      <c r="AF2595" s="367">
        <f t="shared" si="40"/>
        <v>42401</v>
      </c>
      <c r="AG2595" s="368">
        <v>42405</v>
      </c>
      <c r="AH2595" s="370">
        <v>3315.75</v>
      </c>
    </row>
    <row r="2596" spans="32:34">
      <c r="AF2596" s="367">
        <f t="shared" si="40"/>
        <v>42401</v>
      </c>
      <c r="AG2596" s="368">
        <v>42406</v>
      </c>
      <c r="AH2596" s="370">
        <v>3320.49</v>
      </c>
    </row>
    <row r="2597" spans="32:34">
      <c r="AF2597" s="367">
        <f t="shared" si="40"/>
        <v>42401</v>
      </c>
      <c r="AG2597" s="368">
        <v>42407</v>
      </c>
      <c r="AH2597" s="370">
        <v>3320.49</v>
      </c>
    </row>
    <row r="2598" spans="32:34">
      <c r="AF2598" s="367">
        <f t="shared" si="40"/>
        <v>42401</v>
      </c>
      <c r="AG2598" s="368">
        <v>42408</v>
      </c>
      <c r="AH2598" s="370">
        <v>3320.49</v>
      </c>
    </row>
    <row r="2599" spans="32:34">
      <c r="AF2599" s="367">
        <f t="shared" si="40"/>
        <v>42401</v>
      </c>
      <c r="AG2599" s="368">
        <v>42409</v>
      </c>
      <c r="AH2599" s="370">
        <v>3367.02</v>
      </c>
    </row>
    <row r="2600" spans="32:34">
      <c r="AF2600" s="367">
        <f t="shared" si="40"/>
        <v>42401</v>
      </c>
      <c r="AG2600" s="368">
        <v>42410</v>
      </c>
      <c r="AH2600" s="370">
        <v>3391.93</v>
      </c>
    </row>
    <row r="2601" spans="32:34">
      <c r="AF2601" s="367">
        <f t="shared" si="40"/>
        <v>42401</v>
      </c>
      <c r="AG2601" s="368">
        <v>42411</v>
      </c>
      <c r="AH2601" s="370">
        <v>3385.65</v>
      </c>
    </row>
    <row r="2602" spans="32:34">
      <c r="AF2602" s="367">
        <f t="shared" si="40"/>
        <v>42401</v>
      </c>
      <c r="AG2602" s="368">
        <v>42412</v>
      </c>
      <c r="AH2602" s="370">
        <v>3434.89</v>
      </c>
    </row>
    <row r="2603" spans="32:34">
      <c r="AF2603" s="367">
        <f t="shared" si="40"/>
        <v>42401</v>
      </c>
      <c r="AG2603" s="368">
        <v>42413</v>
      </c>
      <c r="AH2603" s="370">
        <v>3409.82</v>
      </c>
    </row>
    <row r="2604" spans="32:34">
      <c r="AF2604" s="367">
        <f t="shared" si="40"/>
        <v>42401</v>
      </c>
      <c r="AG2604" s="368">
        <v>42414</v>
      </c>
      <c r="AH2604" s="370">
        <v>3409.82</v>
      </c>
    </row>
    <row r="2605" spans="32:34">
      <c r="AF2605" s="367">
        <f t="shared" si="40"/>
        <v>42401</v>
      </c>
      <c r="AG2605" s="368">
        <v>42415</v>
      </c>
      <c r="AH2605" s="370">
        <v>3409.82</v>
      </c>
    </row>
    <row r="2606" spans="32:34">
      <c r="AF2606" s="367">
        <f t="shared" si="40"/>
        <v>42401</v>
      </c>
      <c r="AG2606" s="368">
        <v>42416</v>
      </c>
      <c r="AH2606" s="370">
        <v>3409.82</v>
      </c>
    </row>
    <row r="2607" spans="32:34">
      <c r="AF2607" s="367">
        <f t="shared" si="40"/>
        <v>42401</v>
      </c>
      <c r="AG2607" s="368">
        <v>42417</v>
      </c>
      <c r="AH2607" s="370">
        <v>3406.87</v>
      </c>
    </row>
    <row r="2608" spans="32:34">
      <c r="AF2608" s="367">
        <f t="shared" si="40"/>
        <v>42401</v>
      </c>
      <c r="AG2608" s="368">
        <v>42418</v>
      </c>
      <c r="AH2608" s="370">
        <v>3391.87</v>
      </c>
    </row>
    <row r="2609" spans="32:34">
      <c r="AF2609" s="367">
        <f t="shared" si="40"/>
        <v>42401</v>
      </c>
      <c r="AG2609" s="368">
        <v>42419</v>
      </c>
      <c r="AH2609" s="370">
        <v>3338.03</v>
      </c>
    </row>
    <row r="2610" spans="32:34">
      <c r="AF2610" s="367">
        <f t="shared" si="40"/>
        <v>42401</v>
      </c>
      <c r="AG2610" s="368">
        <v>42420</v>
      </c>
      <c r="AH2610" s="370">
        <v>3356.78</v>
      </c>
    </row>
    <row r="2611" spans="32:34">
      <c r="AF2611" s="367">
        <f t="shared" si="40"/>
        <v>42401</v>
      </c>
      <c r="AG2611" s="368">
        <v>42421</v>
      </c>
      <c r="AH2611" s="370">
        <v>3356.78</v>
      </c>
    </row>
    <row r="2612" spans="32:34">
      <c r="AF2612" s="367">
        <f t="shared" si="40"/>
        <v>42401</v>
      </c>
      <c r="AG2612" s="368">
        <v>42422</v>
      </c>
      <c r="AH2612" s="370">
        <v>3356.78</v>
      </c>
    </row>
    <row r="2613" spans="32:34">
      <c r="AF2613" s="367">
        <f t="shared" si="40"/>
        <v>42401</v>
      </c>
      <c r="AG2613" s="368">
        <v>42423</v>
      </c>
      <c r="AH2613" s="370">
        <v>3314.24</v>
      </c>
    </row>
    <row r="2614" spans="32:34">
      <c r="AF2614" s="367">
        <f t="shared" si="40"/>
        <v>42401</v>
      </c>
      <c r="AG2614" s="368">
        <v>42424</v>
      </c>
      <c r="AH2614" s="370">
        <v>3322.54</v>
      </c>
    </row>
    <row r="2615" spans="32:34">
      <c r="AF2615" s="367">
        <f t="shared" si="40"/>
        <v>42401</v>
      </c>
      <c r="AG2615" s="368">
        <v>42425</v>
      </c>
      <c r="AH2615" s="370">
        <v>3341.69</v>
      </c>
    </row>
    <row r="2616" spans="32:34">
      <c r="AF2616" s="367">
        <f t="shared" si="40"/>
        <v>42401</v>
      </c>
      <c r="AG2616" s="368">
        <v>42426</v>
      </c>
      <c r="AH2616" s="370">
        <v>3310.16</v>
      </c>
    </row>
    <row r="2617" spans="32:34">
      <c r="AF2617" s="367">
        <f t="shared" si="40"/>
        <v>42401</v>
      </c>
      <c r="AG2617" s="368">
        <v>42427</v>
      </c>
      <c r="AH2617" s="370">
        <v>3306</v>
      </c>
    </row>
    <row r="2618" spans="32:34">
      <c r="AF2618" s="367">
        <f t="shared" si="40"/>
        <v>42401</v>
      </c>
      <c r="AG2618" s="368">
        <v>42428</v>
      </c>
      <c r="AH2618" s="370">
        <v>3306</v>
      </c>
    </row>
    <row r="2619" spans="32:34">
      <c r="AF2619" s="367">
        <f t="shared" si="40"/>
        <v>42401</v>
      </c>
      <c r="AG2619" s="368">
        <v>42429</v>
      </c>
      <c r="AH2619" s="370">
        <v>3306</v>
      </c>
    </row>
    <row r="2620" spans="32:34">
      <c r="AF2620" s="367">
        <f t="shared" si="40"/>
        <v>42430</v>
      </c>
      <c r="AG2620" s="368">
        <v>42430</v>
      </c>
      <c r="AH2620" s="370">
        <v>3319.8</v>
      </c>
    </row>
    <row r="2621" spans="32:34">
      <c r="AF2621" s="367">
        <f t="shared" si="40"/>
        <v>42430</v>
      </c>
      <c r="AG2621" s="368">
        <v>42431</v>
      </c>
      <c r="AH2621" s="370">
        <v>3268.86</v>
      </c>
    </row>
    <row r="2622" spans="32:34">
      <c r="AF2622" s="367">
        <f t="shared" si="40"/>
        <v>42430</v>
      </c>
      <c r="AG2622" s="368">
        <v>42432</v>
      </c>
      <c r="AH2622" s="370">
        <v>3205.6</v>
      </c>
    </row>
    <row r="2623" spans="32:34">
      <c r="AF2623" s="367">
        <f t="shared" si="40"/>
        <v>42430</v>
      </c>
      <c r="AG2623" s="368">
        <v>42433</v>
      </c>
      <c r="AH2623" s="370">
        <v>3203.03</v>
      </c>
    </row>
    <row r="2624" spans="32:34">
      <c r="AF2624" s="367">
        <f t="shared" si="40"/>
        <v>42430</v>
      </c>
      <c r="AG2624" s="368">
        <v>42434</v>
      </c>
      <c r="AH2624" s="370">
        <v>3163.25</v>
      </c>
    </row>
    <row r="2625" spans="32:34">
      <c r="AF2625" s="367">
        <f t="shared" si="40"/>
        <v>42430</v>
      </c>
      <c r="AG2625" s="368">
        <v>42435</v>
      </c>
      <c r="AH2625" s="370">
        <v>3163.25</v>
      </c>
    </row>
    <row r="2626" spans="32:34">
      <c r="AF2626" s="367">
        <f t="shared" si="40"/>
        <v>42430</v>
      </c>
      <c r="AG2626" s="368">
        <v>42436</v>
      </c>
      <c r="AH2626" s="370">
        <v>3163.25</v>
      </c>
    </row>
    <row r="2627" spans="32:34">
      <c r="AF2627" s="367">
        <f t="shared" si="40"/>
        <v>42430</v>
      </c>
      <c r="AG2627" s="368">
        <v>42437</v>
      </c>
      <c r="AH2627" s="370">
        <v>3135.28</v>
      </c>
    </row>
    <row r="2628" spans="32:34">
      <c r="AF2628" s="367">
        <f t="shared" ref="AF2628:AF2691" si="41">+DATE(YEAR(AG2628),MONTH(AG2628),1)</f>
        <v>42430</v>
      </c>
      <c r="AG2628" s="368">
        <v>42438</v>
      </c>
      <c r="AH2628" s="370">
        <v>3155.9</v>
      </c>
    </row>
    <row r="2629" spans="32:34">
      <c r="AF2629" s="367">
        <f t="shared" si="41"/>
        <v>42430</v>
      </c>
      <c r="AG2629" s="368">
        <v>42439</v>
      </c>
      <c r="AH2629" s="370">
        <v>3192.49</v>
      </c>
    </row>
    <row r="2630" spans="32:34">
      <c r="AF2630" s="367">
        <f t="shared" si="41"/>
        <v>42430</v>
      </c>
      <c r="AG2630" s="368">
        <v>42440</v>
      </c>
      <c r="AH2630" s="370">
        <v>3204.27</v>
      </c>
    </row>
    <row r="2631" spans="32:34">
      <c r="AF2631" s="367">
        <f t="shared" si="41"/>
        <v>42430</v>
      </c>
      <c r="AG2631" s="368">
        <v>42441</v>
      </c>
      <c r="AH2631" s="370">
        <v>3164.12</v>
      </c>
    </row>
    <row r="2632" spans="32:34">
      <c r="AF2632" s="367">
        <f t="shared" si="41"/>
        <v>42430</v>
      </c>
      <c r="AG2632" s="368">
        <v>42442</v>
      </c>
      <c r="AH2632" s="370">
        <v>3164.12</v>
      </c>
    </row>
    <row r="2633" spans="32:34">
      <c r="AF2633" s="367">
        <f t="shared" si="41"/>
        <v>42430</v>
      </c>
      <c r="AG2633" s="368">
        <v>42443</v>
      </c>
      <c r="AH2633" s="370">
        <v>3164.12</v>
      </c>
    </row>
    <row r="2634" spans="32:34">
      <c r="AF2634" s="367">
        <f t="shared" si="41"/>
        <v>42430</v>
      </c>
      <c r="AG2634" s="368">
        <v>42444</v>
      </c>
      <c r="AH2634" s="370">
        <v>3175.95</v>
      </c>
    </row>
    <row r="2635" spans="32:34">
      <c r="AF2635" s="367">
        <f t="shared" si="41"/>
        <v>42430</v>
      </c>
      <c r="AG2635" s="368">
        <v>42445</v>
      </c>
      <c r="AH2635" s="370">
        <v>3175.88</v>
      </c>
    </row>
    <row r="2636" spans="32:34">
      <c r="AF2636" s="367">
        <f t="shared" si="41"/>
        <v>42430</v>
      </c>
      <c r="AG2636" s="368">
        <v>42446</v>
      </c>
      <c r="AH2636" s="370">
        <v>3155.9</v>
      </c>
    </row>
    <row r="2637" spans="32:34">
      <c r="AF2637" s="367">
        <f t="shared" si="41"/>
        <v>42430</v>
      </c>
      <c r="AG2637" s="368">
        <v>42447</v>
      </c>
      <c r="AH2637" s="370">
        <v>3087.39</v>
      </c>
    </row>
    <row r="2638" spans="32:34">
      <c r="AF2638" s="367">
        <f t="shared" si="41"/>
        <v>42430</v>
      </c>
      <c r="AG2638" s="368">
        <v>42448</v>
      </c>
      <c r="AH2638" s="370">
        <v>3065.79</v>
      </c>
    </row>
    <row r="2639" spans="32:34">
      <c r="AF2639" s="367">
        <f t="shared" si="41"/>
        <v>42430</v>
      </c>
      <c r="AG2639" s="368">
        <v>42449</v>
      </c>
      <c r="AH2639" s="370">
        <v>3065.79</v>
      </c>
    </row>
    <row r="2640" spans="32:34">
      <c r="AF2640" s="367">
        <f t="shared" si="41"/>
        <v>42430</v>
      </c>
      <c r="AG2640" s="368">
        <v>42450</v>
      </c>
      <c r="AH2640" s="370">
        <v>3065.79</v>
      </c>
    </row>
    <row r="2641" spans="32:34">
      <c r="AF2641" s="367">
        <f t="shared" si="41"/>
        <v>42430</v>
      </c>
      <c r="AG2641" s="368">
        <v>42451</v>
      </c>
      <c r="AH2641" s="370">
        <v>3065.79</v>
      </c>
    </row>
    <row r="2642" spans="32:34">
      <c r="AF2642" s="367">
        <f t="shared" si="41"/>
        <v>42430</v>
      </c>
      <c r="AG2642" s="368">
        <v>42452</v>
      </c>
      <c r="AH2642" s="370">
        <v>3050.31</v>
      </c>
    </row>
    <row r="2643" spans="32:34">
      <c r="AF2643" s="367">
        <f t="shared" si="41"/>
        <v>42430</v>
      </c>
      <c r="AG2643" s="368">
        <v>42453</v>
      </c>
      <c r="AH2643" s="370">
        <v>3058.8</v>
      </c>
    </row>
    <row r="2644" spans="32:34">
      <c r="AF2644" s="367">
        <f t="shared" si="41"/>
        <v>42430</v>
      </c>
      <c r="AG2644" s="368">
        <v>42454</v>
      </c>
      <c r="AH2644" s="370">
        <v>3058.8</v>
      </c>
    </row>
    <row r="2645" spans="32:34">
      <c r="AF2645" s="367">
        <f t="shared" si="41"/>
        <v>42430</v>
      </c>
      <c r="AG2645" s="368">
        <v>42455</v>
      </c>
      <c r="AH2645" s="370">
        <v>3058.8</v>
      </c>
    </row>
    <row r="2646" spans="32:34">
      <c r="AF2646" s="367">
        <f t="shared" si="41"/>
        <v>42430</v>
      </c>
      <c r="AG2646" s="368">
        <v>42456</v>
      </c>
      <c r="AH2646" s="370">
        <v>3058.8</v>
      </c>
    </row>
    <row r="2647" spans="32:34">
      <c r="AF2647" s="367">
        <f t="shared" si="41"/>
        <v>42430</v>
      </c>
      <c r="AG2647" s="368">
        <v>42457</v>
      </c>
      <c r="AH2647" s="370">
        <v>3058.8</v>
      </c>
    </row>
    <row r="2648" spans="32:34">
      <c r="AF2648" s="367">
        <f t="shared" si="41"/>
        <v>42430</v>
      </c>
      <c r="AG2648" s="368">
        <v>42458</v>
      </c>
      <c r="AH2648" s="370">
        <v>3047.85</v>
      </c>
    </row>
    <row r="2649" spans="32:34">
      <c r="AF2649" s="367">
        <f t="shared" si="41"/>
        <v>42430</v>
      </c>
      <c r="AG2649" s="368">
        <v>42459</v>
      </c>
      <c r="AH2649" s="370">
        <v>3052.33</v>
      </c>
    </row>
    <row r="2650" spans="32:34">
      <c r="AF2650" s="367">
        <f t="shared" si="41"/>
        <v>42430</v>
      </c>
      <c r="AG2650" s="368">
        <v>42460</v>
      </c>
      <c r="AH2650" s="370">
        <v>3022.35</v>
      </c>
    </row>
    <row r="2651" spans="32:34">
      <c r="AF2651" s="367">
        <f t="shared" si="41"/>
        <v>42461</v>
      </c>
      <c r="AG2651" s="368">
        <v>42461</v>
      </c>
      <c r="AH2651" s="370">
        <v>3000.63</v>
      </c>
    </row>
    <row r="2652" spans="32:34">
      <c r="AF2652" s="367">
        <f t="shared" si="41"/>
        <v>42461</v>
      </c>
      <c r="AG2652" s="368">
        <v>42462</v>
      </c>
      <c r="AH2652" s="370">
        <v>3038.48</v>
      </c>
    </row>
    <row r="2653" spans="32:34">
      <c r="AF2653" s="367">
        <f t="shared" si="41"/>
        <v>42461</v>
      </c>
      <c r="AG2653" s="368">
        <v>42463</v>
      </c>
      <c r="AH2653" s="370">
        <v>3038.48</v>
      </c>
    </row>
    <row r="2654" spans="32:34">
      <c r="AF2654" s="367">
        <f t="shared" si="41"/>
        <v>42461</v>
      </c>
      <c r="AG2654" s="368">
        <v>42464</v>
      </c>
      <c r="AH2654" s="370">
        <v>3038.48</v>
      </c>
    </row>
    <row r="2655" spans="32:34">
      <c r="AF2655" s="367">
        <f t="shared" si="41"/>
        <v>42461</v>
      </c>
      <c r="AG2655" s="368">
        <v>42465</v>
      </c>
      <c r="AH2655" s="370">
        <v>3066.94</v>
      </c>
    </row>
    <row r="2656" spans="32:34">
      <c r="AF2656" s="367">
        <f t="shared" si="41"/>
        <v>42461</v>
      </c>
      <c r="AG2656" s="368">
        <v>42466</v>
      </c>
      <c r="AH2656" s="370">
        <v>3085.82</v>
      </c>
    </row>
    <row r="2657" spans="32:34">
      <c r="AF2657" s="367">
        <f t="shared" si="41"/>
        <v>42461</v>
      </c>
      <c r="AG2657" s="368">
        <v>42467</v>
      </c>
      <c r="AH2657" s="370">
        <v>3081.39</v>
      </c>
    </row>
    <row r="2658" spans="32:34">
      <c r="AF2658" s="367">
        <f t="shared" si="41"/>
        <v>42461</v>
      </c>
      <c r="AG2658" s="368">
        <v>42468</v>
      </c>
      <c r="AH2658" s="370">
        <v>3109.6</v>
      </c>
    </row>
    <row r="2659" spans="32:34">
      <c r="AF2659" s="367">
        <f t="shared" si="41"/>
        <v>42461</v>
      </c>
      <c r="AG2659" s="368">
        <v>42469</v>
      </c>
      <c r="AH2659" s="370">
        <v>3076.29</v>
      </c>
    </row>
    <row r="2660" spans="32:34">
      <c r="AF2660" s="367">
        <f t="shared" si="41"/>
        <v>42461</v>
      </c>
      <c r="AG2660" s="368">
        <v>42470</v>
      </c>
      <c r="AH2660" s="370">
        <v>3076.29</v>
      </c>
    </row>
    <row r="2661" spans="32:34">
      <c r="AF2661" s="367">
        <f t="shared" si="41"/>
        <v>42461</v>
      </c>
      <c r="AG2661" s="368">
        <v>42471</v>
      </c>
      <c r="AH2661" s="370">
        <v>3076.29</v>
      </c>
    </row>
    <row r="2662" spans="32:34">
      <c r="AF2662" s="367">
        <f t="shared" si="41"/>
        <v>42461</v>
      </c>
      <c r="AG2662" s="368">
        <v>42472</v>
      </c>
      <c r="AH2662" s="370">
        <v>3057.96</v>
      </c>
    </row>
    <row r="2663" spans="32:34">
      <c r="AF2663" s="367">
        <f t="shared" si="41"/>
        <v>42461</v>
      </c>
      <c r="AG2663" s="368">
        <v>42473</v>
      </c>
      <c r="AH2663" s="370">
        <v>3036.57</v>
      </c>
    </row>
    <row r="2664" spans="32:34">
      <c r="AF2664" s="367">
        <f t="shared" si="41"/>
        <v>42461</v>
      </c>
      <c r="AG2664" s="368">
        <v>42474</v>
      </c>
      <c r="AH2664" s="370">
        <v>3006.35</v>
      </c>
    </row>
    <row r="2665" spans="32:34">
      <c r="AF2665" s="367">
        <f t="shared" si="41"/>
        <v>42461</v>
      </c>
      <c r="AG2665" s="368">
        <v>42475</v>
      </c>
      <c r="AH2665" s="370">
        <v>3000.78</v>
      </c>
    </row>
    <row r="2666" spans="32:34">
      <c r="AF2666" s="367">
        <f t="shared" si="41"/>
        <v>42461</v>
      </c>
      <c r="AG2666" s="368">
        <v>42476</v>
      </c>
      <c r="AH2666" s="370">
        <v>2999.38</v>
      </c>
    </row>
    <row r="2667" spans="32:34">
      <c r="AF2667" s="367">
        <f t="shared" si="41"/>
        <v>42461</v>
      </c>
      <c r="AG2667" s="368">
        <v>42477</v>
      </c>
      <c r="AH2667" s="370">
        <v>2999.38</v>
      </c>
    </row>
    <row r="2668" spans="32:34">
      <c r="AF2668" s="367">
        <f t="shared" si="41"/>
        <v>42461</v>
      </c>
      <c r="AG2668" s="368">
        <v>42478</v>
      </c>
      <c r="AH2668" s="370">
        <v>2999.38</v>
      </c>
    </row>
    <row r="2669" spans="32:34">
      <c r="AF2669" s="367">
        <f t="shared" si="41"/>
        <v>42461</v>
      </c>
      <c r="AG2669" s="368">
        <v>42479</v>
      </c>
      <c r="AH2669" s="370">
        <v>2995.86</v>
      </c>
    </row>
    <row r="2670" spans="32:34">
      <c r="AF2670" s="367">
        <f t="shared" si="41"/>
        <v>42461</v>
      </c>
      <c r="AG2670" s="368">
        <v>42480</v>
      </c>
      <c r="AH2670" s="370">
        <v>2912.2</v>
      </c>
    </row>
    <row r="2671" spans="32:34">
      <c r="AF2671" s="367">
        <f t="shared" si="41"/>
        <v>42461</v>
      </c>
      <c r="AG2671" s="368">
        <v>42481</v>
      </c>
      <c r="AH2671" s="370">
        <v>2899.92</v>
      </c>
    </row>
    <row r="2672" spans="32:34">
      <c r="AF2672" s="367">
        <f t="shared" si="41"/>
        <v>42461</v>
      </c>
      <c r="AG2672" s="368">
        <v>42482</v>
      </c>
      <c r="AH2672" s="370">
        <v>2928.7</v>
      </c>
    </row>
    <row r="2673" spans="32:34">
      <c r="AF2673" s="367">
        <f t="shared" si="41"/>
        <v>42461</v>
      </c>
      <c r="AG2673" s="368">
        <v>42483</v>
      </c>
      <c r="AH2673" s="370">
        <v>2939.7</v>
      </c>
    </row>
    <row r="2674" spans="32:34">
      <c r="AF2674" s="367">
        <f t="shared" si="41"/>
        <v>42461</v>
      </c>
      <c r="AG2674" s="368">
        <v>42484</v>
      </c>
      <c r="AH2674" s="370">
        <v>2939.7</v>
      </c>
    </row>
    <row r="2675" spans="32:34">
      <c r="AF2675" s="367">
        <f t="shared" si="41"/>
        <v>42461</v>
      </c>
      <c r="AG2675" s="368">
        <v>42485</v>
      </c>
      <c r="AH2675" s="370">
        <v>2939.7</v>
      </c>
    </row>
    <row r="2676" spans="32:34">
      <c r="AF2676" s="367">
        <f t="shared" si="41"/>
        <v>42461</v>
      </c>
      <c r="AG2676" s="368">
        <v>42486</v>
      </c>
      <c r="AH2676" s="370">
        <v>2962.08</v>
      </c>
    </row>
    <row r="2677" spans="32:34">
      <c r="AF2677" s="367">
        <f t="shared" si="41"/>
        <v>42461</v>
      </c>
      <c r="AG2677" s="368">
        <v>42487</v>
      </c>
      <c r="AH2677" s="370">
        <v>2945.37</v>
      </c>
    </row>
    <row r="2678" spans="32:34">
      <c r="AF2678" s="367">
        <f t="shared" si="41"/>
        <v>42461</v>
      </c>
      <c r="AG2678" s="368">
        <v>42488</v>
      </c>
      <c r="AH2678" s="370">
        <v>2943.23</v>
      </c>
    </row>
    <row r="2679" spans="32:34">
      <c r="AF2679" s="367">
        <f t="shared" si="41"/>
        <v>42461</v>
      </c>
      <c r="AG2679" s="368">
        <v>42489</v>
      </c>
      <c r="AH2679" s="370">
        <v>2885.72</v>
      </c>
    </row>
    <row r="2680" spans="32:34">
      <c r="AF2680" s="367">
        <f t="shared" si="41"/>
        <v>42461</v>
      </c>
      <c r="AG2680" s="368">
        <v>42490</v>
      </c>
      <c r="AH2680" s="370">
        <v>2851.14</v>
      </c>
    </row>
    <row r="2681" spans="32:34">
      <c r="AF2681" s="367">
        <f t="shared" si="41"/>
        <v>42491</v>
      </c>
      <c r="AG2681" s="368">
        <v>42491</v>
      </c>
      <c r="AH2681" s="370">
        <v>2851.14</v>
      </c>
    </row>
    <row r="2682" spans="32:34">
      <c r="AF2682" s="367">
        <f t="shared" si="41"/>
        <v>42491</v>
      </c>
      <c r="AG2682" s="368">
        <v>42492</v>
      </c>
      <c r="AH2682" s="370">
        <v>2851.14</v>
      </c>
    </row>
    <row r="2683" spans="32:34">
      <c r="AF2683" s="367">
        <f t="shared" si="41"/>
        <v>42491</v>
      </c>
      <c r="AG2683" s="368">
        <v>42493</v>
      </c>
      <c r="AH2683" s="370">
        <v>2833.78</v>
      </c>
    </row>
    <row r="2684" spans="32:34">
      <c r="AF2684" s="367">
        <f t="shared" si="41"/>
        <v>42491</v>
      </c>
      <c r="AG2684" s="368">
        <v>42494</v>
      </c>
      <c r="AH2684" s="370">
        <v>2895.51</v>
      </c>
    </row>
    <row r="2685" spans="32:34">
      <c r="AF2685" s="367">
        <f t="shared" si="41"/>
        <v>42491</v>
      </c>
      <c r="AG2685" s="368">
        <v>42495</v>
      </c>
      <c r="AH2685" s="370">
        <v>2942.16</v>
      </c>
    </row>
    <row r="2686" spans="32:34">
      <c r="AF2686" s="367">
        <f t="shared" si="41"/>
        <v>42491</v>
      </c>
      <c r="AG2686" s="368">
        <v>42496</v>
      </c>
      <c r="AH2686" s="370">
        <v>2952.37</v>
      </c>
    </row>
    <row r="2687" spans="32:34">
      <c r="AF2687" s="367">
        <f t="shared" si="41"/>
        <v>42491</v>
      </c>
      <c r="AG2687" s="368">
        <v>42497</v>
      </c>
      <c r="AH2687" s="370">
        <v>2969.62</v>
      </c>
    </row>
    <row r="2688" spans="32:34">
      <c r="AF2688" s="367">
        <f t="shared" si="41"/>
        <v>42491</v>
      </c>
      <c r="AG2688" s="368">
        <v>42498</v>
      </c>
      <c r="AH2688" s="370">
        <v>2969.62</v>
      </c>
    </row>
    <row r="2689" spans="32:34">
      <c r="AF2689" s="367">
        <f t="shared" si="41"/>
        <v>42491</v>
      </c>
      <c r="AG2689" s="368">
        <v>42499</v>
      </c>
      <c r="AH2689" s="370">
        <v>2969.62</v>
      </c>
    </row>
    <row r="2690" spans="32:34">
      <c r="AF2690" s="367">
        <f t="shared" si="41"/>
        <v>42491</v>
      </c>
      <c r="AG2690" s="368">
        <v>42500</v>
      </c>
      <c r="AH2690" s="370">
        <v>2969.62</v>
      </c>
    </row>
    <row r="2691" spans="32:34">
      <c r="AF2691" s="367">
        <f t="shared" si="41"/>
        <v>42491</v>
      </c>
      <c r="AG2691" s="368">
        <v>42501</v>
      </c>
      <c r="AH2691" s="370">
        <v>2979.54</v>
      </c>
    </row>
    <row r="2692" spans="32:34">
      <c r="AF2692" s="367">
        <f t="shared" ref="AF2692:AF2755" si="42">+DATE(YEAR(AG2692),MONTH(AG2692),1)</f>
        <v>42491</v>
      </c>
      <c r="AG2692" s="368">
        <v>42502</v>
      </c>
      <c r="AH2692" s="370">
        <v>2956.82</v>
      </c>
    </row>
    <row r="2693" spans="32:34">
      <c r="AF2693" s="367">
        <f t="shared" si="42"/>
        <v>42491</v>
      </c>
      <c r="AG2693" s="368">
        <v>42503</v>
      </c>
      <c r="AH2693" s="370">
        <v>2934.88</v>
      </c>
    </row>
    <row r="2694" spans="32:34">
      <c r="AF2694" s="367">
        <f t="shared" si="42"/>
        <v>42491</v>
      </c>
      <c r="AG2694" s="368">
        <v>42504</v>
      </c>
      <c r="AH2694" s="370">
        <v>2983.82</v>
      </c>
    </row>
    <row r="2695" spans="32:34">
      <c r="AF2695" s="367">
        <f t="shared" si="42"/>
        <v>42491</v>
      </c>
      <c r="AG2695" s="368">
        <v>42505</v>
      </c>
      <c r="AH2695" s="370">
        <v>2983.82</v>
      </c>
    </row>
    <row r="2696" spans="32:34">
      <c r="AF2696" s="367">
        <f t="shared" si="42"/>
        <v>42491</v>
      </c>
      <c r="AG2696" s="368">
        <v>42506</v>
      </c>
      <c r="AH2696" s="370">
        <v>2983.82</v>
      </c>
    </row>
    <row r="2697" spans="32:34">
      <c r="AF2697" s="367">
        <f t="shared" si="42"/>
        <v>42491</v>
      </c>
      <c r="AG2697" s="368">
        <v>42507</v>
      </c>
      <c r="AH2697" s="370">
        <v>3007.74</v>
      </c>
    </row>
    <row r="2698" spans="32:34">
      <c r="AF2698" s="367">
        <f t="shared" si="42"/>
        <v>42491</v>
      </c>
      <c r="AG2698" s="368">
        <v>42508</v>
      </c>
      <c r="AH2698" s="370">
        <v>3020.89</v>
      </c>
    </row>
    <row r="2699" spans="32:34">
      <c r="AF2699" s="367">
        <f t="shared" si="42"/>
        <v>42491</v>
      </c>
      <c r="AG2699" s="368">
        <v>42509</v>
      </c>
      <c r="AH2699" s="370">
        <v>3031.48</v>
      </c>
    </row>
    <row r="2700" spans="32:34">
      <c r="AF2700" s="367">
        <f t="shared" si="42"/>
        <v>42491</v>
      </c>
      <c r="AG2700" s="368">
        <v>42510</v>
      </c>
      <c r="AH2700" s="370">
        <v>3056.06</v>
      </c>
    </row>
    <row r="2701" spans="32:34">
      <c r="AF2701" s="367">
        <f t="shared" si="42"/>
        <v>42491</v>
      </c>
      <c r="AG2701" s="368">
        <v>42511</v>
      </c>
      <c r="AH2701" s="370">
        <v>3047.99</v>
      </c>
    </row>
    <row r="2702" spans="32:34">
      <c r="AF2702" s="367">
        <f t="shared" si="42"/>
        <v>42491</v>
      </c>
      <c r="AG2702" s="368">
        <v>42512</v>
      </c>
      <c r="AH2702" s="370">
        <v>3047.99</v>
      </c>
    </row>
    <row r="2703" spans="32:34">
      <c r="AF2703" s="367">
        <f t="shared" si="42"/>
        <v>42491</v>
      </c>
      <c r="AG2703" s="368">
        <v>42513</v>
      </c>
      <c r="AH2703" s="370">
        <v>3047.99</v>
      </c>
    </row>
    <row r="2704" spans="32:34">
      <c r="AF2704" s="367">
        <f t="shared" si="42"/>
        <v>42491</v>
      </c>
      <c r="AG2704" s="368">
        <v>42514</v>
      </c>
      <c r="AH2704" s="370">
        <v>3058.25</v>
      </c>
    </row>
    <row r="2705" spans="32:34">
      <c r="AF2705" s="367">
        <f t="shared" si="42"/>
        <v>42491</v>
      </c>
      <c r="AG2705" s="368">
        <v>42515</v>
      </c>
      <c r="AH2705" s="370">
        <v>3059.92</v>
      </c>
    </row>
    <row r="2706" spans="32:34">
      <c r="AF2706" s="367">
        <f t="shared" si="42"/>
        <v>42491</v>
      </c>
      <c r="AG2706" s="368">
        <v>42516</v>
      </c>
      <c r="AH2706" s="370">
        <v>3061.89</v>
      </c>
    </row>
    <row r="2707" spans="32:34">
      <c r="AF2707" s="367">
        <f t="shared" si="42"/>
        <v>42491</v>
      </c>
      <c r="AG2707" s="368">
        <v>42517</v>
      </c>
      <c r="AH2707" s="370">
        <v>3054.6</v>
      </c>
    </row>
    <row r="2708" spans="32:34">
      <c r="AF2708" s="367">
        <f t="shared" si="42"/>
        <v>42491</v>
      </c>
      <c r="AG2708" s="368">
        <v>42518</v>
      </c>
      <c r="AH2708" s="370">
        <v>3069.17</v>
      </c>
    </row>
    <row r="2709" spans="32:34">
      <c r="AF2709" s="367">
        <f t="shared" si="42"/>
        <v>42491</v>
      </c>
      <c r="AG2709" s="368">
        <v>42519</v>
      </c>
      <c r="AH2709" s="370">
        <v>3069.17</v>
      </c>
    </row>
    <row r="2710" spans="32:34">
      <c r="AF2710" s="367">
        <f t="shared" si="42"/>
        <v>42491</v>
      </c>
      <c r="AG2710" s="368">
        <v>42520</v>
      </c>
      <c r="AH2710" s="370">
        <v>3069.17</v>
      </c>
    </row>
    <row r="2711" spans="32:34">
      <c r="AF2711" s="367">
        <f t="shared" si="42"/>
        <v>42491</v>
      </c>
      <c r="AG2711" s="368">
        <v>42521</v>
      </c>
      <c r="AH2711" s="370">
        <v>3069.17</v>
      </c>
    </row>
    <row r="2712" spans="32:34">
      <c r="AF2712" s="367">
        <f t="shared" si="42"/>
        <v>42522</v>
      </c>
      <c r="AG2712" s="368">
        <v>42522</v>
      </c>
      <c r="AH2712" s="370">
        <v>3089.65</v>
      </c>
    </row>
    <row r="2713" spans="32:34">
      <c r="AF2713" s="367">
        <f t="shared" si="42"/>
        <v>42522</v>
      </c>
      <c r="AG2713" s="368">
        <v>42523</v>
      </c>
      <c r="AH2713" s="370">
        <v>3117.83</v>
      </c>
    </row>
    <row r="2714" spans="32:34">
      <c r="AF2714" s="367">
        <f t="shared" si="42"/>
        <v>42522</v>
      </c>
      <c r="AG2714" s="368">
        <v>42524</v>
      </c>
      <c r="AH2714" s="370">
        <v>3110.88</v>
      </c>
    </row>
    <row r="2715" spans="32:34">
      <c r="AF2715" s="367">
        <f t="shared" si="42"/>
        <v>42522</v>
      </c>
      <c r="AG2715" s="368">
        <v>42525</v>
      </c>
      <c r="AH2715" s="370">
        <v>3017.71</v>
      </c>
    </row>
    <row r="2716" spans="32:34">
      <c r="AF2716" s="367">
        <f t="shared" si="42"/>
        <v>42522</v>
      </c>
      <c r="AG2716" s="368">
        <v>42526</v>
      </c>
      <c r="AH2716" s="370">
        <v>3017.71</v>
      </c>
    </row>
    <row r="2717" spans="32:34">
      <c r="AF2717" s="367">
        <f t="shared" si="42"/>
        <v>42522</v>
      </c>
      <c r="AG2717" s="368">
        <v>42527</v>
      </c>
      <c r="AH2717" s="370">
        <v>3017.71</v>
      </c>
    </row>
    <row r="2718" spans="32:34">
      <c r="AF2718" s="367">
        <f t="shared" si="42"/>
        <v>42522</v>
      </c>
      <c r="AG2718" s="368">
        <v>42528</v>
      </c>
      <c r="AH2718" s="370">
        <v>3017.71</v>
      </c>
    </row>
    <row r="2719" spans="32:34">
      <c r="AF2719" s="367">
        <f t="shared" si="42"/>
        <v>42522</v>
      </c>
      <c r="AG2719" s="368">
        <v>42529</v>
      </c>
      <c r="AH2719" s="370">
        <v>2950.95</v>
      </c>
    </row>
    <row r="2720" spans="32:34">
      <c r="AF2720" s="367">
        <f t="shared" si="42"/>
        <v>42522</v>
      </c>
      <c r="AG2720" s="368">
        <v>42530</v>
      </c>
      <c r="AH2720" s="370">
        <v>2905.23</v>
      </c>
    </row>
    <row r="2721" spans="32:34">
      <c r="AF2721" s="367">
        <f t="shared" si="42"/>
        <v>42522</v>
      </c>
      <c r="AG2721" s="368">
        <v>42531</v>
      </c>
      <c r="AH2721" s="370">
        <v>2942.13</v>
      </c>
    </row>
    <row r="2722" spans="32:34">
      <c r="AF2722" s="367">
        <f t="shared" si="42"/>
        <v>42522</v>
      </c>
      <c r="AG2722" s="368">
        <v>42532</v>
      </c>
      <c r="AH2722" s="370">
        <v>2969.83</v>
      </c>
    </row>
    <row r="2723" spans="32:34">
      <c r="AF2723" s="367">
        <f t="shared" si="42"/>
        <v>42522</v>
      </c>
      <c r="AG2723" s="368">
        <v>42533</v>
      </c>
      <c r="AH2723" s="370">
        <v>2969.83</v>
      </c>
    </row>
    <row r="2724" spans="32:34">
      <c r="AF2724" s="367">
        <f t="shared" si="42"/>
        <v>42522</v>
      </c>
      <c r="AG2724" s="368">
        <v>42534</v>
      </c>
      <c r="AH2724" s="370">
        <v>2969.83</v>
      </c>
    </row>
    <row r="2725" spans="32:34">
      <c r="AF2725" s="367">
        <f t="shared" si="42"/>
        <v>42522</v>
      </c>
      <c r="AG2725" s="368">
        <v>42535</v>
      </c>
      <c r="AH2725" s="370">
        <v>2990.35</v>
      </c>
    </row>
    <row r="2726" spans="32:34">
      <c r="AF2726" s="367">
        <f t="shared" si="42"/>
        <v>42522</v>
      </c>
      <c r="AG2726" s="368">
        <v>42536</v>
      </c>
      <c r="AH2726" s="370">
        <v>3003.28</v>
      </c>
    </row>
    <row r="2727" spans="32:34">
      <c r="AF2727" s="367">
        <f t="shared" si="42"/>
        <v>42522</v>
      </c>
      <c r="AG2727" s="368">
        <v>42537</v>
      </c>
      <c r="AH2727" s="370">
        <v>2989.56</v>
      </c>
    </row>
    <row r="2728" spans="32:34">
      <c r="AF2728" s="367">
        <f t="shared" si="42"/>
        <v>42522</v>
      </c>
      <c r="AG2728" s="368">
        <v>42538</v>
      </c>
      <c r="AH2728" s="370">
        <v>3019.12</v>
      </c>
    </row>
    <row r="2729" spans="32:34">
      <c r="AF2729" s="367">
        <f t="shared" si="42"/>
        <v>42522</v>
      </c>
      <c r="AG2729" s="368">
        <v>42539</v>
      </c>
      <c r="AH2729" s="370">
        <v>3010.91</v>
      </c>
    </row>
    <row r="2730" spans="32:34">
      <c r="AF2730" s="367">
        <f t="shared" si="42"/>
        <v>42522</v>
      </c>
      <c r="AG2730" s="368">
        <v>42540</v>
      </c>
      <c r="AH2730" s="370">
        <v>3010.91</v>
      </c>
    </row>
    <row r="2731" spans="32:34">
      <c r="AF2731" s="367">
        <f t="shared" si="42"/>
        <v>42522</v>
      </c>
      <c r="AG2731" s="368">
        <v>42541</v>
      </c>
      <c r="AH2731" s="370">
        <v>3010.91</v>
      </c>
    </row>
    <row r="2732" spans="32:34">
      <c r="AF2732" s="367">
        <f t="shared" si="42"/>
        <v>42522</v>
      </c>
      <c r="AG2732" s="368">
        <v>42542</v>
      </c>
      <c r="AH2732" s="370">
        <v>2972.97</v>
      </c>
    </row>
    <row r="2733" spans="32:34">
      <c r="AF2733" s="367">
        <f t="shared" si="42"/>
        <v>42522</v>
      </c>
      <c r="AG2733" s="368">
        <v>42543</v>
      </c>
      <c r="AH2733" s="370">
        <v>2976.29</v>
      </c>
    </row>
    <row r="2734" spans="32:34">
      <c r="AF2734" s="367">
        <f t="shared" si="42"/>
        <v>42522</v>
      </c>
      <c r="AG2734" s="368">
        <v>42544</v>
      </c>
      <c r="AH2734" s="370">
        <v>2944.06</v>
      </c>
    </row>
    <row r="2735" spans="32:34">
      <c r="AF2735" s="367">
        <f t="shared" si="42"/>
        <v>42522</v>
      </c>
      <c r="AG2735" s="368">
        <v>42545</v>
      </c>
      <c r="AH2735" s="370">
        <v>2897.53</v>
      </c>
    </row>
    <row r="2736" spans="32:34">
      <c r="AF2736" s="367">
        <f t="shared" si="42"/>
        <v>42522</v>
      </c>
      <c r="AG2736" s="368">
        <v>42546</v>
      </c>
      <c r="AH2736" s="370">
        <v>2972.92</v>
      </c>
    </row>
    <row r="2737" spans="32:34">
      <c r="AF2737" s="367">
        <f t="shared" si="42"/>
        <v>42522</v>
      </c>
      <c r="AG2737" s="368">
        <v>42547</v>
      </c>
      <c r="AH2737" s="370">
        <v>2972.92</v>
      </c>
    </row>
    <row r="2738" spans="32:34">
      <c r="AF2738" s="367">
        <f t="shared" si="42"/>
        <v>42522</v>
      </c>
      <c r="AG2738" s="368">
        <v>42548</v>
      </c>
      <c r="AH2738" s="370">
        <v>2972.92</v>
      </c>
    </row>
    <row r="2739" spans="32:34">
      <c r="AF2739" s="367">
        <f t="shared" si="42"/>
        <v>42522</v>
      </c>
      <c r="AG2739" s="368">
        <v>42549</v>
      </c>
      <c r="AH2739" s="370">
        <v>3022.78</v>
      </c>
    </row>
    <row r="2740" spans="32:34">
      <c r="AF2740" s="367">
        <f t="shared" si="42"/>
        <v>42522</v>
      </c>
      <c r="AG2740" s="368">
        <v>42550</v>
      </c>
      <c r="AH2740" s="370">
        <v>3005.18</v>
      </c>
    </row>
    <row r="2741" spans="32:34">
      <c r="AF2741" s="367">
        <f t="shared" si="42"/>
        <v>42522</v>
      </c>
      <c r="AG2741" s="368">
        <v>42551</v>
      </c>
      <c r="AH2741" s="370">
        <v>2916.15</v>
      </c>
    </row>
    <row r="2742" spans="32:34">
      <c r="AF2742" s="367">
        <f t="shared" si="42"/>
        <v>42552</v>
      </c>
      <c r="AG2742" s="368">
        <v>42552</v>
      </c>
      <c r="AH2742" s="370">
        <v>2919.01</v>
      </c>
    </row>
    <row r="2743" spans="32:34">
      <c r="AF2743" s="367">
        <f t="shared" si="42"/>
        <v>42552</v>
      </c>
      <c r="AG2743" s="368">
        <v>42553</v>
      </c>
      <c r="AH2743" s="370">
        <v>2914.38</v>
      </c>
    </row>
    <row r="2744" spans="32:34">
      <c r="AF2744" s="367">
        <f t="shared" si="42"/>
        <v>42552</v>
      </c>
      <c r="AG2744" s="368">
        <v>42554</v>
      </c>
      <c r="AH2744" s="370">
        <v>2914.38</v>
      </c>
    </row>
    <row r="2745" spans="32:34">
      <c r="AF2745" s="367">
        <f t="shared" si="42"/>
        <v>42552</v>
      </c>
      <c r="AG2745" s="368">
        <v>42555</v>
      </c>
      <c r="AH2745" s="370">
        <v>2914.38</v>
      </c>
    </row>
    <row r="2746" spans="32:34">
      <c r="AF2746" s="367">
        <f t="shared" si="42"/>
        <v>42552</v>
      </c>
      <c r="AG2746" s="368">
        <v>42556</v>
      </c>
      <c r="AH2746" s="370">
        <v>2914.38</v>
      </c>
    </row>
    <row r="2747" spans="32:34">
      <c r="AF2747" s="367">
        <f t="shared" si="42"/>
        <v>42552</v>
      </c>
      <c r="AG2747" s="368">
        <v>42557</v>
      </c>
      <c r="AH2747" s="370">
        <v>2966.87</v>
      </c>
    </row>
    <row r="2748" spans="32:34">
      <c r="AF2748" s="367">
        <f t="shared" si="42"/>
        <v>42552</v>
      </c>
      <c r="AG2748" s="368">
        <v>42558</v>
      </c>
      <c r="AH2748" s="370">
        <v>3003.2</v>
      </c>
    </row>
    <row r="2749" spans="32:34">
      <c r="AF2749" s="367">
        <f t="shared" si="42"/>
        <v>42552</v>
      </c>
      <c r="AG2749" s="368">
        <v>42559</v>
      </c>
      <c r="AH2749" s="370">
        <v>2986.49</v>
      </c>
    </row>
    <row r="2750" spans="32:34">
      <c r="AF2750" s="367">
        <f t="shared" si="42"/>
        <v>42552</v>
      </c>
      <c r="AG2750" s="368">
        <v>42560</v>
      </c>
      <c r="AH2750" s="370">
        <v>2952.64</v>
      </c>
    </row>
    <row r="2751" spans="32:34">
      <c r="AF2751" s="367">
        <f t="shared" si="42"/>
        <v>42552</v>
      </c>
      <c r="AG2751" s="368">
        <v>42561</v>
      </c>
      <c r="AH2751" s="370">
        <v>2952.64</v>
      </c>
    </row>
    <row r="2752" spans="32:34">
      <c r="AF2752" s="367">
        <f t="shared" si="42"/>
        <v>42552</v>
      </c>
      <c r="AG2752" s="368">
        <v>42562</v>
      </c>
      <c r="AH2752" s="370">
        <v>2952.64</v>
      </c>
    </row>
    <row r="2753" spans="32:34">
      <c r="AF2753" s="367">
        <f t="shared" si="42"/>
        <v>42552</v>
      </c>
      <c r="AG2753" s="368">
        <v>42563</v>
      </c>
      <c r="AH2753" s="370">
        <v>2929.81</v>
      </c>
    </row>
    <row r="2754" spans="32:34">
      <c r="AF2754" s="367">
        <f t="shared" si="42"/>
        <v>42552</v>
      </c>
      <c r="AG2754" s="368">
        <v>42564</v>
      </c>
      <c r="AH2754" s="370">
        <v>2911.91</v>
      </c>
    </row>
    <row r="2755" spans="32:34">
      <c r="AF2755" s="367">
        <f t="shared" si="42"/>
        <v>42552</v>
      </c>
      <c r="AG2755" s="368">
        <v>42565</v>
      </c>
      <c r="AH2755" s="370">
        <v>2936.53</v>
      </c>
    </row>
    <row r="2756" spans="32:34">
      <c r="AF2756" s="367">
        <f t="shared" ref="AF2756:AF2819" si="43">+DATE(YEAR(AG2756),MONTH(AG2756),1)</f>
        <v>42552</v>
      </c>
      <c r="AG2756" s="368">
        <v>42566</v>
      </c>
      <c r="AH2756" s="370">
        <v>2923.07</v>
      </c>
    </row>
    <row r="2757" spans="32:34">
      <c r="AF2757" s="367">
        <f t="shared" si="43"/>
        <v>42552</v>
      </c>
      <c r="AG2757" s="368">
        <v>42567</v>
      </c>
      <c r="AH2757" s="370">
        <v>2923.46</v>
      </c>
    </row>
    <row r="2758" spans="32:34">
      <c r="AF2758" s="367">
        <f t="shared" si="43"/>
        <v>42552</v>
      </c>
      <c r="AG2758" s="368">
        <v>42568</v>
      </c>
      <c r="AH2758" s="370">
        <v>2923.46</v>
      </c>
    </row>
    <row r="2759" spans="32:34">
      <c r="AF2759" s="367">
        <f t="shared" si="43"/>
        <v>42552</v>
      </c>
      <c r="AG2759" s="368">
        <v>42569</v>
      </c>
      <c r="AH2759" s="370">
        <v>2923.46</v>
      </c>
    </row>
    <row r="2760" spans="32:34">
      <c r="AF2760" s="367">
        <f t="shared" si="43"/>
        <v>42552</v>
      </c>
      <c r="AG2760" s="368">
        <v>42570</v>
      </c>
      <c r="AH2760" s="370">
        <v>2928.3</v>
      </c>
    </row>
    <row r="2761" spans="32:34">
      <c r="AF2761" s="367">
        <f t="shared" si="43"/>
        <v>42552</v>
      </c>
      <c r="AG2761" s="368">
        <v>42571</v>
      </c>
      <c r="AH2761" s="370">
        <v>2931.08</v>
      </c>
    </row>
    <row r="2762" spans="32:34">
      <c r="AF2762" s="367">
        <f t="shared" si="43"/>
        <v>42552</v>
      </c>
      <c r="AG2762" s="368">
        <v>42572</v>
      </c>
      <c r="AH2762" s="370">
        <v>2931.08</v>
      </c>
    </row>
    <row r="2763" spans="32:34">
      <c r="AF2763" s="367">
        <f t="shared" si="43"/>
        <v>42552</v>
      </c>
      <c r="AG2763" s="368">
        <v>42573</v>
      </c>
      <c r="AH2763" s="370">
        <v>2928.67</v>
      </c>
    </row>
    <row r="2764" spans="32:34">
      <c r="AF2764" s="367">
        <f t="shared" si="43"/>
        <v>42552</v>
      </c>
      <c r="AG2764" s="368">
        <v>42574</v>
      </c>
      <c r="AH2764" s="370">
        <v>2942.65</v>
      </c>
    </row>
    <row r="2765" spans="32:34">
      <c r="AF2765" s="367">
        <f t="shared" si="43"/>
        <v>42552</v>
      </c>
      <c r="AG2765" s="368">
        <v>42575</v>
      </c>
      <c r="AH2765" s="370">
        <v>2942.65</v>
      </c>
    </row>
    <row r="2766" spans="32:34">
      <c r="AF2766" s="367">
        <f t="shared" si="43"/>
        <v>42552</v>
      </c>
      <c r="AG2766" s="368">
        <v>42576</v>
      </c>
      <c r="AH2766" s="370">
        <v>2942.65</v>
      </c>
    </row>
    <row r="2767" spans="32:34">
      <c r="AF2767" s="367">
        <f t="shared" si="43"/>
        <v>42552</v>
      </c>
      <c r="AG2767" s="368">
        <v>42577</v>
      </c>
      <c r="AH2767" s="370">
        <v>2997.25</v>
      </c>
    </row>
    <row r="2768" spans="32:34">
      <c r="AF2768" s="367">
        <f t="shared" si="43"/>
        <v>42552</v>
      </c>
      <c r="AG2768" s="368">
        <v>42578</v>
      </c>
      <c r="AH2768" s="370">
        <v>3055.15</v>
      </c>
    </row>
    <row r="2769" spans="32:34">
      <c r="AF2769" s="367">
        <f t="shared" si="43"/>
        <v>42552</v>
      </c>
      <c r="AG2769" s="368">
        <v>42579</v>
      </c>
      <c r="AH2769" s="370">
        <v>3073.52</v>
      </c>
    </row>
    <row r="2770" spans="32:34">
      <c r="AF2770" s="367">
        <f t="shared" si="43"/>
        <v>42552</v>
      </c>
      <c r="AG2770" s="368">
        <v>42580</v>
      </c>
      <c r="AH2770" s="370">
        <v>3091.78</v>
      </c>
    </row>
    <row r="2771" spans="32:34">
      <c r="AF2771" s="367">
        <f t="shared" si="43"/>
        <v>42552</v>
      </c>
      <c r="AG2771" s="368">
        <v>42581</v>
      </c>
      <c r="AH2771" s="370">
        <v>3081.75</v>
      </c>
    </row>
    <row r="2772" spans="32:34">
      <c r="AF2772" s="367">
        <f t="shared" si="43"/>
        <v>42552</v>
      </c>
      <c r="AG2772" s="368">
        <v>42582</v>
      </c>
      <c r="AH2772" s="370">
        <v>3081.75</v>
      </c>
    </row>
    <row r="2773" spans="32:34">
      <c r="AF2773" s="367">
        <f t="shared" si="43"/>
        <v>42583</v>
      </c>
      <c r="AG2773" s="368">
        <v>42583</v>
      </c>
      <c r="AH2773" s="370">
        <v>3081.75</v>
      </c>
    </row>
    <row r="2774" spans="32:34">
      <c r="AF2774" s="367">
        <f t="shared" si="43"/>
        <v>42583</v>
      </c>
      <c r="AG2774" s="368">
        <v>42584</v>
      </c>
      <c r="AH2774" s="370">
        <v>3090.28</v>
      </c>
    </row>
    <row r="2775" spans="32:34">
      <c r="AF2775" s="367">
        <f t="shared" si="43"/>
        <v>42583</v>
      </c>
      <c r="AG2775" s="368">
        <v>42585</v>
      </c>
      <c r="AH2775" s="370">
        <v>3084.81</v>
      </c>
    </row>
    <row r="2776" spans="32:34">
      <c r="AF2776" s="367">
        <f t="shared" si="43"/>
        <v>42583</v>
      </c>
      <c r="AG2776" s="368">
        <v>42586</v>
      </c>
      <c r="AH2776" s="370">
        <v>3110.43</v>
      </c>
    </row>
    <row r="2777" spans="32:34">
      <c r="AF2777" s="367">
        <f t="shared" si="43"/>
        <v>42583</v>
      </c>
      <c r="AG2777" s="368">
        <v>42587</v>
      </c>
      <c r="AH2777" s="370">
        <v>3079.83</v>
      </c>
    </row>
    <row r="2778" spans="32:34">
      <c r="AF2778" s="367">
        <f t="shared" si="43"/>
        <v>42583</v>
      </c>
      <c r="AG2778" s="368">
        <v>42588</v>
      </c>
      <c r="AH2778" s="370">
        <v>3052.8</v>
      </c>
    </row>
    <row r="2779" spans="32:34">
      <c r="AF2779" s="367">
        <f t="shared" si="43"/>
        <v>42583</v>
      </c>
      <c r="AG2779" s="368">
        <v>42589</v>
      </c>
      <c r="AH2779" s="370">
        <v>3052.8</v>
      </c>
    </row>
    <row r="2780" spans="32:34">
      <c r="AF2780" s="367">
        <f t="shared" si="43"/>
        <v>42583</v>
      </c>
      <c r="AG2780" s="368">
        <v>42590</v>
      </c>
      <c r="AH2780" s="370">
        <v>3052.8</v>
      </c>
    </row>
    <row r="2781" spans="32:34">
      <c r="AF2781" s="367">
        <f t="shared" si="43"/>
        <v>42583</v>
      </c>
      <c r="AG2781" s="368">
        <v>42591</v>
      </c>
      <c r="AH2781" s="370">
        <v>2992.5</v>
      </c>
    </row>
    <row r="2782" spans="32:34">
      <c r="AF2782" s="367">
        <f t="shared" si="43"/>
        <v>42583</v>
      </c>
      <c r="AG2782" s="368">
        <v>42592</v>
      </c>
      <c r="AH2782" s="370">
        <v>2974.31</v>
      </c>
    </row>
    <row r="2783" spans="32:34">
      <c r="AF2783" s="367">
        <f t="shared" si="43"/>
        <v>42583</v>
      </c>
      <c r="AG2783" s="368">
        <v>42593</v>
      </c>
      <c r="AH2783" s="370">
        <v>2954.9</v>
      </c>
    </row>
    <row r="2784" spans="32:34">
      <c r="AF2784" s="367">
        <f t="shared" si="43"/>
        <v>42583</v>
      </c>
      <c r="AG2784" s="368">
        <v>42594</v>
      </c>
      <c r="AH2784" s="370">
        <v>2911.26</v>
      </c>
    </row>
    <row r="2785" spans="32:34">
      <c r="AF2785" s="367">
        <f t="shared" si="43"/>
        <v>42583</v>
      </c>
      <c r="AG2785" s="368">
        <v>42595</v>
      </c>
      <c r="AH2785" s="370">
        <v>2908.67</v>
      </c>
    </row>
    <row r="2786" spans="32:34">
      <c r="AF2786" s="367">
        <f t="shared" si="43"/>
        <v>42583</v>
      </c>
      <c r="AG2786" s="368">
        <v>42596</v>
      </c>
      <c r="AH2786" s="370">
        <v>2908.67</v>
      </c>
    </row>
    <row r="2787" spans="32:34">
      <c r="AF2787" s="367">
        <f t="shared" si="43"/>
        <v>42583</v>
      </c>
      <c r="AG2787" s="368">
        <v>42597</v>
      </c>
      <c r="AH2787" s="370">
        <v>2908.67</v>
      </c>
    </row>
    <row r="2788" spans="32:34">
      <c r="AF2788" s="367">
        <f t="shared" si="43"/>
        <v>42583</v>
      </c>
      <c r="AG2788" s="368">
        <v>42598</v>
      </c>
      <c r="AH2788" s="370">
        <v>2908.67</v>
      </c>
    </row>
    <row r="2789" spans="32:34">
      <c r="AF2789" s="367">
        <f t="shared" si="43"/>
        <v>42583</v>
      </c>
      <c r="AG2789" s="368">
        <v>42599</v>
      </c>
      <c r="AH2789" s="370">
        <v>2905.3</v>
      </c>
    </row>
    <row r="2790" spans="32:34">
      <c r="AF2790" s="367">
        <f t="shared" si="43"/>
        <v>42583</v>
      </c>
      <c r="AG2790" s="368">
        <v>42600</v>
      </c>
      <c r="AH2790" s="370">
        <v>2918.07</v>
      </c>
    </row>
    <row r="2791" spans="32:34">
      <c r="AF2791" s="367">
        <f t="shared" si="43"/>
        <v>42583</v>
      </c>
      <c r="AG2791" s="368">
        <v>42601</v>
      </c>
      <c r="AH2791" s="370">
        <v>2884.02</v>
      </c>
    </row>
    <row r="2792" spans="32:34">
      <c r="AF2792" s="367">
        <f t="shared" si="43"/>
        <v>42583</v>
      </c>
      <c r="AG2792" s="368">
        <v>42602</v>
      </c>
      <c r="AH2792" s="370">
        <v>2867.37</v>
      </c>
    </row>
    <row r="2793" spans="32:34">
      <c r="AF2793" s="367">
        <f t="shared" si="43"/>
        <v>42583</v>
      </c>
      <c r="AG2793" s="368">
        <v>42603</v>
      </c>
      <c r="AH2793" s="370">
        <v>2867.37</v>
      </c>
    </row>
    <row r="2794" spans="32:34">
      <c r="AF2794" s="367">
        <f t="shared" si="43"/>
        <v>42583</v>
      </c>
      <c r="AG2794" s="368">
        <v>42604</v>
      </c>
      <c r="AH2794" s="370">
        <v>2867.37</v>
      </c>
    </row>
    <row r="2795" spans="32:34">
      <c r="AF2795" s="367">
        <f t="shared" si="43"/>
        <v>42583</v>
      </c>
      <c r="AG2795" s="368">
        <v>42605</v>
      </c>
      <c r="AH2795" s="370">
        <v>2883.89</v>
      </c>
    </row>
    <row r="2796" spans="32:34">
      <c r="AF2796" s="367">
        <f t="shared" si="43"/>
        <v>42583</v>
      </c>
      <c r="AG2796" s="368">
        <v>42606</v>
      </c>
      <c r="AH2796" s="370">
        <v>2909.1</v>
      </c>
    </row>
    <row r="2797" spans="32:34">
      <c r="AF2797" s="367">
        <f t="shared" si="43"/>
        <v>42583</v>
      </c>
      <c r="AG2797" s="368">
        <v>42607</v>
      </c>
      <c r="AH2797" s="370">
        <v>2938.28</v>
      </c>
    </row>
    <row r="2798" spans="32:34">
      <c r="AF2798" s="367">
        <f t="shared" si="43"/>
        <v>42583</v>
      </c>
      <c r="AG2798" s="368">
        <v>42608</v>
      </c>
      <c r="AH2798" s="370">
        <v>2915.67</v>
      </c>
    </row>
    <row r="2799" spans="32:34">
      <c r="AF2799" s="367">
        <f t="shared" si="43"/>
        <v>42583</v>
      </c>
      <c r="AG2799" s="368">
        <v>42609</v>
      </c>
      <c r="AH2799" s="370">
        <v>2882.69</v>
      </c>
    </row>
    <row r="2800" spans="32:34">
      <c r="AF2800" s="367">
        <f t="shared" si="43"/>
        <v>42583</v>
      </c>
      <c r="AG2800" s="368">
        <v>42610</v>
      </c>
      <c r="AH2800" s="370">
        <v>2882.69</v>
      </c>
    </row>
    <row r="2801" spans="32:34">
      <c r="AF2801" s="367">
        <f t="shared" si="43"/>
        <v>42583</v>
      </c>
      <c r="AG2801" s="368">
        <v>42611</v>
      </c>
      <c r="AH2801" s="370">
        <v>2882.69</v>
      </c>
    </row>
    <row r="2802" spans="32:34">
      <c r="AF2802" s="367">
        <f t="shared" si="43"/>
        <v>42583</v>
      </c>
      <c r="AG2802" s="368">
        <v>42612</v>
      </c>
      <c r="AH2802" s="370">
        <v>2924.29</v>
      </c>
    </row>
    <row r="2803" spans="32:34">
      <c r="AF2803" s="367">
        <f t="shared" si="43"/>
        <v>42583</v>
      </c>
      <c r="AG2803" s="368">
        <v>42613</v>
      </c>
      <c r="AH2803" s="370">
        <v>2933.82</v>
      </c>
    </row>
    <row r="2804" spans="32:34">
      <c r="AF2804" s="367">
        <f t="shared" si="43"/>
        <v>42614</v>
      </c>
      <c r="AG2804" s="368">
        <v>42614</v>
      </c>
      <c r="AH2804" s="370">
        <v>2956.53</v>
      </c>
    </row>
    <row r="2805" spans="32:34">
      <c r="AF2805" s="367">
        <f t="shared" si="43"/>
        <v>42614</v>
      </c>
      <c r="AG2805" s="368">
        <v>42615</v>
      </c>
      <c r="AH2805" s="370">
        <v>2986.36</v>
      </c>
    </row>
    <row r="2806" spans="32:34">
      <c r="AF2806" s="367">
        <f t="shared" si="43"/>
        <v>42614</v>
      </c>
      <c r="AG2806" s="368">
        <v>42616</v>
      </c>
      <c r="AH2806" s="370">
        <v>2957.56</v>
      </c>
    </row>
    <row r="2807" spans="32:34">
      <c r="AF2807" s="367">
        <f t="shared" si="43"/>
        <v>42614</v>
      </c>
      <c r="AG2807" s="368">
        <v>42617</v>
      </c>
      <c r="AH2807" s="370">
        <v>2957.56</v>
      </c>
    </row>
    <row r="2808" spans="32:34">
      <c r="AF2808" s="367">
        <f t="shared" si="43"/>
        <v>42614</v>
      </c>
      <c r="AG2808" s="368">
        <v>42618</v>
      </c>
      <c r="AH2808" s="370">
        <v>2957.56</v>
      </c>
    </row>
    <row r="2809" spans="32:34">
      <c r="AF2809" s="367">
        <f t="shared" si="43"/>
        <v>42614</v>
      </c>
      <c r="AG2809" s="368">
        <v>42619</v>
      </c>
      <c r="AH2809" s="370">
        <v>2957.56</v>
      </c>
    </row>
    <row r="2810" spans="32:34">
      <c r="AF2810" s="367">
        <f t="shared" si="43"/>
        <v>42614</v>
      </c>
      <c r="AG2810" s="368">
        <v>42620</v>
      </c>
      <c r="AH2810" s="370">
        <v>2887.64</v>
      </c>
    </row>
    <row r="2811" spans="32:34">
      <c r="AF2811" s="367">
        <f t="shared" si="43"/>
        <v>42614</v>
      </c>
      <c r="AG2811" s="368">
        <v>42621</v>
      </c>
      <c r="AH2811" s="370">
        <v>2840.38</v>
      </c>
    </row>
    <row r="2812" spans="32:34">
      <c r="AF2812" s="367">
        <f t="shared" si="43"/>
        <v>42614</v>
      </c>
      <c r="AG2812" s="368">
        <v>42622</v>
      </c>
      <c r="AH2812" s="370">
        <v>2846.13</v>
      </c>
    </row>
    <row r="2813" spans="32:34">
      <c r="AF2813" s="367">
        <f t="shared" si="43"/>
        <v>42614</v>
      </c>
      <c r="AG2813" s="368">
        <v>42623</v>
      </c>
      <c r="AH2813" s="370">
        <v>2899.29</v>
      </c>
    </row>
    <row r="2814" spans="32:34">
      <c r="AF2814" s="367">
        <f t="shared" si="43"/>
        <v>42614</v>
      </c>
      <c r="AG2814" s="368">
        <v>42624</v>
      </c>
      <c r="AH2814" s="370">
        <v>2899.29</v>
      </c>
    </row>
    <row r="2815" spans="32:34">
      <c r="AF2815" s="367">
        <f t="shared" si="43"/>
        <v>42614</v>
      </c>
      <c r="AG2815" s="368">
        <v>42625</v>
      </c>
      <c r="AH2815" s="370">
        <v>2899.29</v>
      </c>
    </row>
    <row r="2816" spans="32:34">
      <c r="AF2816" s="367">
        <f t="shared" si="43"/>
        <v>42614</v>
      </c>
      <c r="AG2816" s="368">
        <v>42626</v>
      </c>
      <c r="AH2816" s="370">
        <v>2942.29</v>
      </c>
    </row>
    <row r="2817" spans="32:34">
      <c r="AF2817" s="367">
        <f t="shared" si="43"/>
        <v>42614</v>
      </c>
      <c r="AG2817" s="368">
        <v>42627</v>
      </c>
      <c r="AH2817" s="370">
        <v>2976.19</v>
      </c>
    </row>
    <row r="2818" spans="32:34">
      <c r="AF2818" s="367">
        <f t="shared" si="43"/>
        <v>42614</v>
      </c>
      <c r="AG2818" s="368">
        <v>42628</v>
      </c>
      <c r="AH2818" s="370">
        <v>2972.65</v>
      </c>
    </row>
    <row r="2819" spans="32:34">
      <c r="AF2819" s="367">
        <f t="shared" si="43"/>
        <v>42614</v>
      </c>
      <c r="AG2819" s="368">
        <v>42629</v>
      </c>
      <c r="AH2819" s="370">
        <v>2938.5</v>
      </c>
    </row>
    <row r="2820" spans="32:34">
      <c r="AF2820" s="367">
        <f t="shared" ref="AF2820:AF2883" si="44">+DATE(YEAR(AG2820),MONTH(AG2820),1)</f>
        <v>42614</v>
      </c>
      <c r="AG2820" s="368">
        <v>42630</v>
      </c>
      <c r="AH2820" s="370">
        <v>2956.58</v>
      </c>
    </row>
    <row r="2821" spans="32:34">
      <c r="AF2821" s="367">
        <f t="shared" si="44"/>
        <v>42614</v>
      </c>
      <c r="AG2821" s="368">
        <v>42631</v>
      </c>
      <c r="AH2821" s="370">
        <v>2956.58</v>
      </c>
    </row>
    <row r="2822" spans="32:34">
      <c r="AF2822" s="367">
        <f t="shared" si="44"/>
        <v>42614</v>
      </c>
      <c r="AG2822" s="368">
        <v>42632</v>
      </c>
      <c r="AH2822" s="370">
        <v>2956.58</v>
      </c>
    </row>
    <row r="2823" spans="32:34">
      <c r="AF2823" s="367">
        <f t="shared" si="44"/>
        <v>42614</v>
      </c>
      <c r="AG2823" s="368">
        <v>42633</v>
      </c>
      <c r="AH2823" s="370">
        <v>2928.18</v>
      </c>
    </row>
    <row r="2824" spans="32:34">
      <c r="AF2824" s="367">
        <f t="shared" si="44"/>
        <v>42614</v>
      </c>
      <c r="AG2824" s="368">
        <v>42634</v>
      </c>
      <c r="AH2824" s="370">
        <v>2911.11</v>
      </c>
    </row>
    <row r="2825" spans="32:34">
      <c r="AF2825" s="367">
        <f t="shared" si="44"/>
        <v>42614</v>
      </c>
      <c r="AG2825" s="368">
        <v>42635</v>
      </c>
      <c r="AH2825" s="370">
        <v>2894.15</v>
      </c>
    </row>
    <row r="2826" spans="32:34">
      <c r="AF2826" s="367">
        <f t="shared" si="44"/>
        <v>42614</v>
      </c>
      <c r="AG2826" s="368">
        <v>42636</v>
      </c>
      <c r="AH2826" s="370">
        <v>2862.52</v>
      </c>
    </row>
    <row r="2827" spans="32:34">
      <c r="AF2827" s="367">
        <f t="shared" si="44"/>
        <v>42614</v>
      </c>
      <c r="AG2827" s="368">
        <v>42637</v>
      </c>
      <c r="AH2827" s="370">
        <v>2917.95</v>
      </c>
    </row>
    <row r="2828" spans="32:34">
      <c r="AF2828" s="367">
        <f t="shared" si="44"/>
        <v>42614</v>
      </c>
      <c r="AG2828" s="368">
        <v>42638</v>
      </c>
      <c r="AH2828" s="370">
        <v>2917.95</v>
      </c>
    </row>
    <row r="2829" spans="32:34">
      <c r="AF2829" s="367">
        <f t="shared" si="44"/>
        <v>42614</v>
      </c>
      <c r="AG2829" s="368">
        <v>42639</v>
      </c>
      <c r="AH2829" s="370">
        <v>2917.95</v>
      </c>
    </row>
    <row r="2830" spans="32:34">
      <c r="AF2830" s="367">
        <f t="shared" si="44"/>
        <v>42614</v>
      </c>
      <c r="AG2830" s="368">
        <v>42640</v>
      </c>
      <c r="AH2830" s="370">
        <v>2917.58</v>
      </c>
    </row>
    <row r="2831" spans="32:34">
      <c r="AF2831" s="367">
        <f t="shared" si="44"/>
        <v>42614</v>
      </c>
      <c r="AG2831" s="368">
        <v>42641</v>
      </c>
      <c r="AH2831" s="370">
        <v>2921.99</v>
      </c>
    </row>
    <row r="2832" spans="32:34">
      <c r="AF2832" s="367">
        <f t="shared" si="44"/>
        <v>42614</v>
      </c>
      <c r="AG2832" s="368">
        <v>42642</v>
      </c>
      <c r="AH2832" s="370">
        <v>2914.11</v>
      </c>
    </row>
    <row r="2833" spans="32:34">
      <c r="AF2833" s="367">
        <f t="shared" si="44"/>
        <v>42614</v>
      </c>
      <c r="AG2833" s="368">
        <v>42643</v>
      </c>
      <c r="AH2833" s="370">
        <v>2879.95</v>
      </c>
    </row>
    <row r="2834" spans="32:34">
      <c r="AF2834" s="367">
        <f t="shared" si="44"/>
        <v>42644</v>
      </c>
      <c r="AG2834" s="368">
        <v>42644</v>
      </c>
      <c r="AH2834" s="370">
        <v>2880.08</v>
      </c>
    </row>
    <row r="2835" spans="32:34">
      <c r="AF2835" s="367">
        <f t="shared" si="44"/>
        <v>42644</v>
      </c>
      <c r="AG2835" s="368">
        <v>42645</v>
      </c>
      <c r="AH2835" s="370">
        <v>2880.08</v>
      </c>
    </row>
    <row r="2836" spans="32:34">
      <c r="AF2836" s="367">
        <f t="shared" si="44"/>
        <v>42644</v>
      </c>
      <c r="AG2836" s="368">
        <v>42646</v>
      </c>
      <c r="AH2836" s="370">
        <v>2880.08</v>
      </c>
    </row>
    <row r="2837" spans="32:34">
      <c r="AF2837" s="367">
        <f t="shared" si="44"/>
        <v>42644</v>
      </c>
      <c r="AG2837" s="368">
        <v>42647</v>
      </c>
      <c r="AH2837" s="370">
        <v>2937.23</v>
      </c>
    </row>
    <row r="2838" spans="32:34">
      <c r="AF2838" s="367">
        <f t="shared" si="44"/>
        <v>42644</v>
      </c>
      <c r="AG2838" s="368">
        <v>42648</v>
      </c>
      <c r="AH2838" s="370">
        <v>2963.06</v>
      </c>
    </row>
    <row r="2839" spans="32:34">
      <c r="AF2839" s="367">
        <f t="shared" si="44"/>
        <v>42644</v>
      </c>
      <c r="AG2839" s="368">
        <v>42649</v>
      </c>
      <c r="AH2839" s="370">
        <v>2964.93</v>
      </c>
    </row>
    <row r="2840" spans="32:34">
      <c r="AF2840" s="367">
        <f t="shared" si="44"/>
        <v>42644</v>
      </c>
      <c r="AG2840" s="368">
        <v>42650</v>
      </c>
      <c r="AH2840" s="370">
        <v>2924.8</v>
      </c>
    </row>
    <row r="2841" spans="32:34">
      <c r="AF2841" s="367">
        <f t="shared" si="44"/>
        <v>42644</v>
      </c>
      <c r="AG2841" s="368">
        <v>42651</v>
      </c>
      <c r="AH2841" s="370">
        <v>2913.96</v>
      </c>
    </row>
    <row r="2842" spans="32:34">
      <c r="AF2842" s="367">
        <f t="shared" si="44"/>
        <v>42644</v>
      </c>
      <c r="AG2842" s="368">
        <v>42652</v>
      </c>
      <c r="AH2842" s="370">
        <v>2913.96</v>
      </c>
    </row>
    <row r="2843" spans="32:34">
      <c r="AF2843" s="367">
        <f t="shared" si="44"/>
        <v>42644</v>
      </c>
      <c r="AG2843" s="368">
        <v>42653</v>
      </c>
      <c r="AH2843" s="370">
        <v>2913.96</v>
      </c>
    </row>
    <row r="2844" spans="32:34">
      <c r="AF2844" s="367">
        <f t="shared" si="44"/>
        <v>42644</v>
      </c>
      <c r="AG2844" s="368">
        <v>42654</v>
      </c>
      <c r="AH2844" s="370">
        <v>2913.96</v>
      </c>
    </row>
    <row r="2845" spans="32:34">
      <c r="AF2845" s="367">
        <f t="shared" si="44"/>
        <v>42644</v>
      </c>
      <c r="AG2845" s="368">
        <v>42655</v>
      </c>
      <c r="AH2845" s="370">
        <v>2919.51</v>
      </c>
    </row>
    <row r="2846" spans="32:34">
      <c r="AF2846" s="367">
        <f t="shared" si="44"/>
        <v>42644</v>
      </c>
      <c r="AG2846" s="368">
        <v>42656</v>
      </c>
      <c r="AH2846" s="370">
        <v>2919.18</v>
      </c>
    </row>
    <row r="2847" spans="32:34">
      <c r="AF2847" s="367">
        <f t="shared" si="44"/>
        <v>42644</v>
      </c>
      <c r="AG2847" s="368">
        <v>42657</v>
      </c>
      <c r="AH2847" s="370">
        <v>2930.78</v>
      </c>
    </row>
    <row r="2848" spans="32:34">
      <c r="AF2848" s="367">
        <f t="shared" si="44"/>
        <v>42644</v>
      </c>
      <c r="AG2848" s="368">
        <v>42658</v>
      </c>
      <c r="AH2848" s="370">
        <v>2915.67</v>
      </c>
    </row>
    <row r="2849" spans="32:34">
      <c r="AF2849" s="367">
        <f t="shared" si="44"/>
        <v>42644</v>
      </c>
      <c r="AG2849" s="368">
        <v>42659</v>
      </c>
      <c r="AH2849" s="370">
        <v>2915.67</v>
      </c>
    </row>
    <row r="2850" spans="32:34">
      <c r="AF2850" s="367">
        <f t="shared" si="44"/>
        <v>42644</v>
      </c>
      <c r="AG2850" s="368">
        <v>42660</v>
      </c>
      <c r="AH2850" s="370">
        <v>2915.67</v>
      </c>
    </row>
    <row r="2851" spans="32:34">
      <c r="AF2851" s="367">
        <f t="shared" si="44"/>
        <v>42644</v>
      </c>
      <c r="AG2851" s="368">
        <v>42661</v>
      </c>
      <c r="AH2851" s="370">
        <v>2915.67</v>
      </c>
    </row>
    <row r="2852" spans="32:34">
      <c r="AF2852" s="367">
        <f t="shared" si="44"/>
        <v>42644</v>
      </c>
      <c r="AG2852" s="368">
        <v>42662</v>
      </c>
      <c r="AH2852" s="370">
        <v>2905.93</v>
      </c>
    </row>
    <row r="2853" spans="32:34">
      <c r="AF2853" s="367">
        <f t="shared" si="44"/>
        <v>42644</v>
      </c>
      <c r="AG2853" s="368">
        <v>42663</v>
      </c>
      <c r="AH2853" s="370">
        <v>2914.15</v>
      </c>
    </row>
    <row r="2854" spans="32:34">
      <c r="AF2854" s="367">
        <f t="shared" si="44"/>
        <v>42644</v>
      </c>
      <c r="AG2854" s="368">
        <v>42664</v>
      </c>
      <c r="AH2854" s="370">
        <v>2934.03</v>
      </c>
    </row>
    <row r="2855" spans="32:34">
      <c r="AF2855" s="367">
        <f t="shared" si="44"/>
        <v>42644</v>
      </c>
      <c r="AG2855" s="368">
        <v>42665</v>
      </c>
      <c r="AH2855" s="370">
        <v>2944.25</v>
      </c>
    </row>
    <row r="2856" spans="32:34">
      <c r="AF2856" s="367">
        <f t="shared" si="44"/>
        <v>42644</v>
      </c>
      <c r="AG2856" s="368">
        <v>42666</v>
      </c>
      <c r="AH2856" s="370">
        <v>2944.25</v>
      </c>
    </row>
    <row r="2857" spans="32:34">
      <c r="AF2857" s="367">
        <f t="shared" si="44"/>
        <v>42644</v>
      </c>
      <c r="AG2857" s="368">
        <v>42667</v>
      </c>
      <c r="AH2857" s="370">
        <v>2944.25</v>
      </c>
    </row>
    <row r="2858" spans="32:34">
      <c r="AF2858" s="367">
        <f t="shared" si="44"/>
        <v>42644</v>
      </c>
      <c r="AG2858" s="368">
        <v>42668</v>
      </c>
      <c r="AH2858" s="370">
        <v>2929.83</v>
      </c>
    </row>
    <row r="2859" spans="32:34">
      <c r="AF2859" s="367">
        <f t="shared" si="44"/>
        <v>42644</v>
      </c>
      <c r="AG2859" s="368">
        <v>42669</v>
      </c>
      <c r="AH2859" s="370">
        <v>2941.34</v>
      </c>
    </row>
    <row r="2860" spans="32:34">
      <c r="AF2860" s="367">
        <f t="shared" si="44"/>
        <v>42644</v>
      </c>
      <c r="AG2860" s="368">
        <v>42670</v>
      </c>
      <c r="AH2860" s="370">
        <v>2965.18</v>
      </c>
    </row>
    <row r="2861" spans="32:34">
      <c r="AF2861" s="367">
        <f t="shared" si="44"/>
        <v>42644</v>
      </c>
      <c r="AG2861" s="368">
        <v>42671</v>
      </c>
      <c r="AH2861" s="370">
        <v>2966.61</v>
      </c>
    </row>
    <row r="2862" spans="32:34">
      <c r="AF2862" s="367">
        <f t="shared" si="44"/>
        <v>42644</v>
      </c>
      <c r="AG2862" s="368">
        <v>42672</v>
      </c>
      <c r="AH2862" s="370">
        <v>2967.66</v>
      </c>
    </row>
    <row r="2863" spans="32:34">
      <c r="AF2863" s="367">
        <f t="shared" si="44"/>
        <v>42644</v>
      </c>
      <c r="AG2863" s="368">
        <v>42673</v>
      </c>
      <c r="AH2863" s="370">
        <v>2967.66</v>
      </c>
    </row>
    <row r="2864" spans="32:34">
      <c r="AF2864" s="367">
        <f t="shared" si="44"/>
        <v>42644</v>
      </c>
      <c r="AG2864" s="368">
        <v>42674</v>
      </c>
      <c r="AH2864" s="370">
        <v>2967.66</v>
      </c>
    </row>
    <row r="2865" spans="32:34">
      <c r="AF2865" s="367">
        <f t="shared" si="44"/>
        <v>42675</v>
      </c>
      <c r="AG2865" s="368">
        <v>42675</v>
      </c>
      <c r="AH2865" s="370">
        <v>2998.55</v>
      </c>
    </row>
    <row r="2866" spans="32:34">
      <c r="AF2866" s="367">
        <f t="shared" si="44"/>
        <v>42675</v>
      </c>
      <c r="AG2866" s="368">
        <v>42676</v>
      </c>
      <c r="AH2866" s="370">
        <v>3026.68</v>
      </c>
    </row>
    <row r="2867" spans="32:34">
      <c r="AF2867" s="367">
        <f t="shared" si="44"/>
        <v>42675</v>
      </c>
      <c r="AG2867" s="368">
        <v>42677</v>
      </c>
      <c r="AH2867" s="370">
        <v>3070.54</v>
      </c>
    </row>
    <row r="2868" spans="32:34">
      <c r="AF2868" s="367">
        <f t="shared" si="44"/>
        <v>42675</v>
      </c>
      <c r="AG2868" s="368">
        <v>42678</v>
      </c>
      <c r="AH2868" s="370">
        <v>3071.12</v>
      </c>
    </row>
    <row r="2869" spans="32:34">
      <c r="AF2869" s="367">
        <f t="shared" si="44"/>
        <v>42675</v>
      </c>
      <c r="AG2869" s="368">
        <v>42679</v>
      </c>
      <c r="AH2869" s="370">
        <v>3070.4</v>
      </c>
    </row>
    <row r="2870" spans="32:34">
      <c r="AF2870" s="367">
        <f t="shared" si="44"/>
        <v>42675</v>
      </c>
      <c r="AG2870" s="368">
        <v>42680</v>
      </c>
      <c r="AH2870" s="370">
        <v>3070.4</v>
      </c>
    </row>
    <row r="2871" spans="32:34">
      <c r="AF2871" s="367">
        <f t="shared" si="44"/>
        <v>42675</v>
      </c>
      <c r="AG2871" s="368">
        <v>42681</v>
      </c>
      <c r="AH2871" s="370">
        <v>3070.4</v>
      </c>
    </row>
    <row r="2872" spans="32:34">
      <c r="AF2872" s="367">
        <f t="shared" si="44"/>
        <v>42675</v>
      </c>
      <c r="AG2872" s="368">
        <v>42682</v>
      </c>
      <c r="AH2872" s="370">
        <v>3070.4</v>
      </c>
    </row>
    <row r="2873" spans="32:34">
      <c r="AF2873" s="367">
        <f t="shared" si="44"/>
        <v>42675</v>
      </c>
      <c r="AG2873" s="368">
        <v>42683</v>
      </c>
      <c r="AH2873" s="370">
        <v>2984.78</v>
      </c>
    </row>
    <row r="2874" spans="32:34">
      <c r="AF2874" s="367">
        <f t="shared" si="44"/>
        <v>42675</v>
      </c>
      <c r="AG2874" s="368">
        <v>42684</v>
      </c>
      <c r="AH2874" s="370">
        <v>3012.12</v>
      </c>
    </row>
    <row r="2875" spans="32:34">
      <c r="AF2875" s="367">
        <f t="shared" si="44"/>
        <v>42675</v>
      </c>
      <c r="AG2875" s="368">
        <v>42685</v>
      </c>
      <c r="AH2875" s="370">
        <v>3100.12</v>
      </c>
    </row>
    <row r="2876" spans="32:34">
      <c r="AF2876" s="367">
        <f t="shared" si="44"/>
        <v>42675</v>
      </c>
      <c r="AG2876" s="368">
        <v>42686</v>
      </c>
      <c r="AH2876" s="370">
        <v>3100.12</v>
      </c>
    </row>
    <row r="2877" spans="32:34">
      <c r="AF2877" s="367">
        <f t="shared" si="44"/>
        <v>42675</v>
      </c>
      <c r="AG2877" s="368">
        <v>42687</v>
      </c>
      <c r="AH2877" s="370">
        <v>3100.12</v>
      </c>
    </row>
    <row r="2878" spans="32:34">
      <c r="AF2878" s="367">
        <f t="shared" si="44"/>
        <v>42675</v>
      </c>
      <c r="AG2878" s="368">
        <v>42688</v>
      </c>
      <c r="AH2878" s="370">
        <v>3100.12</v>
      </c>
    </row>
    <row r="2879" spans="32:34">
      <c r="AF2879" s="367">
        <f t="shared" si="44"/>
        <v>42675</v>
      </c>
      <c r="AG2879" s="368">
        <v>42689</v>
      </c>
      <c r="AH2879" s="370">
        <v>3100.12</v>
      </c>
    </row>
    <row r="2880" spans="32:34">
      <c r="AF2880" s="367">
        <f t="shared" si="44"/>
        <v>42675</v>
      </c>
      <c r="AG2880" s="368">
        <v>42690</v>
      </c>
      <c r="AH2880" s="370">
        <v>3124.91</v>
      </c>
    </row>
    <row r="2881" spans="32:34">
      <c r="AF2881" s="367">
        <f t="shared" si="44"/>
        <v>42675</v>
      </c>
      <c r="AG2881" s="368">
        <v>42691</v>
      </c>
      <c r="AH2881" s="370">
        <v>3131.11</v>
      </c>
    </row>
    <row r="2882" spans="32:34">
      <c r="AF2882" s="367">
        <f t="shared" si="44"/>
        <v>42675</v>
      </c>
      <c r="AG2882" s="368">
        <v>42692</v>
      </c>
      <c r="AH2882" s="370">
        <v>3135.65</v>
      </c>
    </row>
    <row r="2883" spans="32:34">
      <c r="AF2883" s="367">
        <f t="shared" si="44"/>
        <v>42675</v>
      </c>
      <c r="AG2883" s="368">
        <v>42693</v>
      </c>
      <c r="AH2883" s="370">
        <v>3163.49</v>
      </c>
    </row>
    <row r="2884" spans="32:34">
      <c r="AF2884" s="367">
        <f t="shared" ref="AF2884:AF2947" si="45">+DATE(YEAR(AG2884),MONTH(AG2884),1)</f>
        <v>42675</v>
      </c>
      <c r="AG2884" s="368">
        <v>42694</v>
      </c>
      <c r="AH2884" s="370">
        <v>3163.49</v>
      </c>
    </row>
    <row r="2885" spans="32:34">
      <c r="AF2885" s="367">
        <f t="shared" si="45"/>
        <v>42675</v>
      </c>
      <c r="AG2885" s="368">
        <v>42695</v>
      </c>
      <c r="AH2885" s="370">
        <v>3163.49</v>
      </c>
    </row>
    <row r="2886" spans="32:34">
      <c r="AF2886" s="367">
        <f t="shared" si="45"/>
        <v>42675</v>
      </c>
      <c r="AG2886" s="368">
        <v>42696</v>
      </c>
      <c r="AH2886" s="370">
        <v>3144.72</v>
      </c>
    </row>
    <row r="2887" spans="32:34">
      <c r="AF2887" s="367">
        <f t="shared" si="45"/>
        <v>42675</v>
      </c>
      <c r="AG2887" s="368">
        <v>42697</v>
      </c>
      <c r="AH2887" s="370">
        <v>3139.76</v>
      </c>
    </row>
    <row r="2888" spans="32:34">
      <c r="AF2888" s="367">
        <f t="shared" si="45"/>
        <v>42675</v>
      </c>
      <c r="AG2888" s="368">
        <v>42698</v>
      </c>
      <c r="AH2888" s="370">
        <v>3187.97</v>
      </c>
    </row>
    <row r="2889" spans="32:34">
      <c r="AF2889" s="367">
        <f t="shared" si="45"/>
        <v>42675</v>
      </c>
      <c r="AG2889" s="368">
        <v>42699</v>
      </c>
      <c r="AH2889" s="370">
        <v>3187.97</v>
      </c>
    </row>
    <row r="2890" spans="32:34">
      <c r="AF2890" s="367">
        <f t="shared" si="45"/>
        <v>42675</v>
      </c>
      <c r="AG2890" s="368">
        <v>42700</v>
      </c>
      <c r="AH2890" s="370">
        <v>3170.64</v>
      </c>
    </row>
    <row r="2891" spans="32:34">
      <c r="AF2891" s="367">
        <f t="shared" si="45"/>
        <v>42675</v>
      </c>
      <c r="AG2891" s="368">
        <v>42701</v>
      </c>
      <c r="AH2891" s="370">
        <v>3170.64</v>
      </c>
    </row>
    <row r="2892" spans="32:34">
      <c r="AF2892" s="367">
        <f t="shared" si="45"/>
        <v>42675</v>
      </c>
      <c r="AG2892" s="368">
        <v>42702</v>
      </c>
      <c r="AH2892" s="370">
        <v>3170.64</v>
      </c>
    </row>
    <row r="2893" spans="32:34">
      <c r="AF2893" s="367">
        <f t="shared" si="45"/>
        <v>42675</v>
      </c>
      <c r="AG2893" s="368">
        <v>42703</v>
      </c>
      <c r="AH2893" s="370">
        <v>3142.2</v>
      </c>
    </row>
    <row r="2894" spans="32:34">
      <c r="AF2894" s="367">
        <f t="shared" si="45"/>
        <v>42675</v>
      </c>
      <c r="AG2894" s="368">
        <v>42704</v>
      </c>
      <c r="AH2894" s="370">
        <v>3165.09</v>
      </c>
    </row>
    <row r="2895" spans="32:34">
      <c r="AF2895" s="367">
        <f t="shared" si="45"/>
        <v>42705</v>
      </c>
      <c r="AG2895" s="368">
        <v>42705</v>
      </c>
      <c r="AH2895" s="370">
        <v>3085.6</v>
      </c>
    </row>
    <row r="2896" spans="32:34">
      <c r="AF2896" s="367">
        <f t="shared" si="45"/>
        <v>42705</v>
      </c>
      <c r="AG2896" s="368">
        <v>42706</v>
      </c>
      <c r="AH2896" s="370">
        <v>3068.34</v>
      </c>
    </row>
    <row r="2897" spans="32:34">
      <c r="AF2897" s="367">
        <f t="shared" si="45"/>
        <v>42705</v>
      </c>
      <c r="AG2897" s="368">
        <v>42707</v>
      </c>
      <c r="AH2897" s="370">
        <v>3061.04</v>
      </c>
    </row>
    <row r="2898" spans="32:34">
      <c r="AF2898" s="367">
        <f t="shared" si="45"/>
        <v>42705</v>
      </c>
      <c r="AG2898" s="368">
        <v>42708</v>
      </c>
      <c r="AH2898" s="370">
        <v>3061.04</v>
      </c>
    </row>
    <row r="2899" spans="32:34">
      <c r="AF2899" s="367">
        <f t="shared" si="45"/>
        <v>42705</v>
      </c>
      <c r="AG2899" s="368">
        <v>42709</v>
      </c>
      <c r="AH2899" s="370">
        <v>3061.04</v>
      </c>
    </row>
    <row r="2900" spans="32:34">
      <c r="AF2900" s="367">
        <f t="shared" si="45"/>
        <v>42705</v>
      </c>
      <c r="AG2900" s="368">
        <v>42710</v>
      </c>
      <c r="AH2900" s="370">
        <v>3049.47</v>
      </c>
    </row>
    <row r="2901" spans="32:34">
      <c r="AF2901" s="367">
        <f t="shared" si="45"/>
        <v>42705</v>
      </c>
      <c r="AG2901" s="368">
        <v>42711</v>
      </c>
      <c r="AH2901" s="370">
        <v>3015.47</v>
      </c>
    </row>
    <row r="2902" spans="32:34">
      <c r="AF2902" s="367">
        <f t="shared" si="45"/>
        <v>42705</v>
      </c>
      <c r="AG2902" s="368">
        <v>42712</v>
      </c>
      <c r="AH2902" s="370">
        <v>2989.71</v>
      </c>
    </row>
    <row r="2903" spans="32:34">
      <c r="AF2903" s="367">
        <f t="shared" si="45"/>
        <v>42705</v>
      </c>
      <c r="AG2903" s="368">
        <v>42713</v>
      </c>
      <c r="AH2903" s="370">
        <v>2989.71</v>
      </c>
    </row>
    <row r="2904" spans="32:34">
      <c r="AF2904" s="367">
        <f t="shared" si="45"/>
        <v>42705</v>
      </c>
      <c r="AG2904" s="368">
        <v>42714</v>
      </c>
      <c r="AH2904" s="370">
        <v>3002.8</v>
      </c>
    </row>
    <row r="2905" spans="32:34">
      <c r="AF2905" s="367">
        <f t="shared" si="45"/>
        <v>42705</v>
      </c>
      <c r="AG2905" s="368">
        <v>42715</v>
      </c>
      <c r="AH2905" s="370">
        <v>3002.8</v>
      </c>
    </row>
    <row r="2906" spans="32:34">
      <c r="AF2906" s="367">
        <f t="shared" si="45"/>
        <v>42705</v>
      </c>
      <c r="AG2906" s="368">
        <v>42716</v>
      </c>
      <c r="AH2906" s="370">
        <v>3002.8</v>
      </c>
    </row>
    <row r="2907" spans="32:34">
      <c r="AF2907" s="367">
        <f t="shared" si="45"/>
        <v>42705</v>
      </c>
      <c r="AG2907" s="368">
        <v>42717</v>
      </c>
      <c r="AH2907" s="370">
        <v>2984.02</v>
      </c>
    </row>
    <row r="2908" spans="32:34">
      <c r="AF2908" s="367">
        <f t="shared" si="45"/>
        <v>42705</v>
      </c>
      <c r="AG2908" s="368">
        <v>42718</v>
      </c>
      <c r="AH2908" s="370">
        <v>2982.29</v>
      </c>
    </row>
    <row r="2909" spans="32:34">
      <c r="AF2909" s="367">
        <f t="shared" si="45"/>
        <v>42705</v>
      </c>
      <c r="AG2909" s="368">
        <v>42719</v>
      </c>
      <c r="AH2909" s="370">
        <v>2964.56</v>
      </c>
    </row>
    <row r="2910" spans="32:34">
      <c r="AF2910" s="367">
        <f t="shared" si="45"/>
        <v>42705</v>
      </c>
      <c r="AG2910" s="368">
        <v>42720</v>
      </c>
      <c r="AH2910" s="370">
        <v>3000.47</v>
      </c>
    </row>
    <row r="2911" spans="32:34">
      <c r="AF2911" s="367">
        <f t="shared" si="45"/>
        <v>42705</v>
      </c>
      <c r="AG2911" s="368">
        <v>42721</v>
      </c>
      <c r="AH2911" s="370">
        <v>2997.2</v>
      </c>
    </row>
    <row r="2912" spans="32:34">
      <c r="AF2912" s="367">
        <f t="shared" si="45"/>
        <v>42705</v>
      </c>
      <c r="AG2912" s="368">
        <v>42722</v>
      </c>
      <c r="AH2912" s="370">
        <v>2997.2</v>
      </c>
    </row>
    <row r="2913" spans="32:34">
      <c r="AF2913" s="367">
        <f t="shared" si="45"/>
        <v>42705</v>
      </c>
      <c r="AG2913" s="368">
        <v>42723</v>
      </c>
      <c r="AH2913" s="370">
        <v>2997.2</v>
      </c>
    </row>
    <row r="2914" spans="32:34">
      <c r="AF2914" s="367">
        <f t="shared" si="45"/>
        <v>42705</v>
      </c>
      <c r="AG2914" s="368">
        <v>42724</v>
      </c>
      <c r="AH2914" s="370">
        <v>3019.44</v>
      </c>
    </row>
    <row r="2915" spans="32:34">
      <c r="AF2915" s="367">
        <f t="shared" si="45"/>
        <v>42705</v>
      </c>
      <c r="AG2915" s="368">
        <v>42725</v>
      </c>
      <c r="AH2915" s="370">
        <v>2988.06</v>
      </c>
    </row>
    <row r="2916" spans="32:34">
      <c r="AF2916" s="367">
        <f t="shared" si="45"/>
        <v>42705</v>
      </c>
      <c r="AG2916" s="368">
        <v>42726</v>
      </c>
      <c r="AH2916" s="370">
        <v>2989.14</v>
      </c>
    </row>
    <row r="2917" spans="32:34">
      <c r="AF2917" s="367">
        <f t="shared" si="45"/>
        <v>42705</v>
      </c>
      <c r="AG2917" s="368">
        <v>42727</v>
      </c>
      <c r="AH2917" s="370">
        <v>2996.03</v>
      </c>
    </row>
    <row r="2918" spans="32:34">
      <c r="AF2918" s="367">
        <f t="shared" si="45"/>
        <v>42705</v>
      </c>
      <c r="AG2918" s="368">
        <v>42728</v>
      </c>
      <c r="AH2918" s="370">
        <v>2996.6</v>
      </c>
    </row>
    <row r="2919" spans="32:34">
      <c r="AF2919" s="367">
        <f t="shared" si="45"/>
        <v>42705</v>
      </c>
      <c r="AG2919" s="368">
        <v>42729</v>
      </c>
      <c r="AH2919" s="370">
        <v>2996.6</v>
      </c>
    </row>
    <row r="2920" spans="32:34">
      <c r="AF2920" s="367">
        <f t="shared" si="45"/>
        <v>42705</v>
      </c>
      <c r="AG2920" s="368">
        <v>42730</v>
      </c>
      <c r="AH2920" s="370">
        <v>2996.6</v>
      </c>
    </row>
    <row r="2921" spans="32:34">
      <c r="AF2921" s="367">
        <f t="shared" si="45"/>
        <v>42705</v>
      </c>
      <c r="AG2921" s="368">
        <v>42731</v>
      </c>
      <c r="AH2921" s="370">
        <v>2996.6</v>
      </c>
    </row>
    <row r="2922" spans="32:34">
      <c r="AF2922" s="367">
        <f t="shared" si="45"/>
        <v>42705</v>
      </c>
      <c r="AG2922" s="368">
        <v>42732</v>
      </c>
      <c r="AH2922" s="370">
        <v>2992.81</v>
      </c>
    </row>
    <row r="2923" spans="32:34">
      <c r="AF2923" s="367">
        <f t="shared" si="45"/>
        <v>42705</v>
      </c>
      <c r="AG2923" s="368">
        <v>42733</v>
      </c>
      <c r="AH2923" s="370">
        <v>3019.72</v>
      </c>
    </row>
    <row r="2924" spans="32:34">
      <c r="AF2924" s="367">
        <f t="shared" si="45"/>
        <v>42705</v>
      </c>
      <c r="AG2924" s="368">
        <v>42734</v>
      </c>
      <c r="AH2924" s="370">
        <v>3000.71</v>
      </c>
    </row>
    <row r="2925" spans="32:34">
      <c r="AF2925" s="367">
        <f t="shared" si="45"/>
        <v>42705</v>
      </c>
      <c r="AG2925" s="368">
        <v>42735</v>
      </c>
      <c r="AH2925" s="370">
        <v>3000.71</v>
      </c>
    </row>
    <row r="2926" spans="32:34">
      <c r="AF2926" s="367">
        <f t="shared" si="45"/>
        <v>42736</v>
      </c>
      <c r="AG2926" s="368">
        <v>42736</v>
      </c>
      <c r="AH2926" s="370">
        <v>3000.71</v>
      </c>
    </row>
    <row r="2927" spans="32:34">
      <c r="AF2927" s="367">
        <f t="shared" si="45"/>
        <v>42736</v>
      </c>
      <c r="AG2927" s="368">
        <v>42737</v>
      </c>
      <c r="AH2927" s="370">
        <v>3000.71</v>
      </c>
    </row>
    <row r="2928" spans="32:34">
      <c r="AF2928" s="367">
        <f t="shared" si="45"/>
        <v>42736</v>
      </c>
      <c r="AG2928" s="368">
        <v>42738</v>
      </c>
      <c r="AH2928" s="370">
        <v>3000.71</v>
      </c>
    </row>
    <row r="2929" spans="32:34">
      <c r="AF2929" s="367">
        <f t="shared" si="45"/>
        <v>42736</v>
      </c>
      <c r="AG2929" s="368">
        <v>42739</v>
      </c>
      <c r="AH2929" s="370">
        <v>2981.06</v>
      </c>
    </row>
    <row r="2930" spans="32:34">
      <c r="AF2930" s="367">
        <f t="shared" si="45"/>
        <v>42736</v>
      </c>
      <c r="AG2930" s="368">
        <v>42740</v>
      </c>
      <c r="AH2930" s="370">
        <v>2965.36</v>
      </c>
    </row>
    <row r="2931" spans="32:34">
      <c r="AF2931" s="367">
        <f t="shared" si="45"/>
        <v>42736</v>
      </c>
      <c r="AG2931" s="368">
        <v>42741</v>
      </c>
      <c r="AH2931" s="370">
        <v>2941.08</v>
      </c>
    </row>
    <row r="2932" spans="32:34">
      <c r="AF2932" s="367">
        <f t="shared" si="45"/>
        <v>42736</v>
      </c>
      <c r="AG2932" s="368">
        <v>42742</v>
      </c>
      <c r="AH2932" s="370">
        <v>2919.01</v>
      </c>
    </row>
    <row r="2933" spans="32:34">
      <c r="AF2933" s="367">
        <f t="shared" si="45"/>
        <v>42736</v>
      </c>
      <c r="AG2933" s="368">
        <v>42743</v>
      </c>
      <c r="AH2933" s="370">
        <v>2919.01</v>
      </c>
    </row>
    <row r="2934" spans="32:34">
      <c r="AF2934" s="367">
        <f t="shared" si="45"/>
        <v>42736</v>
      </c>
      <c r="AG2934" s="368">
        <v>42744</v>
      </c>
      <c r="AH2934" s="370">
        <v>2919.01</v>
      </c>
    </row>
    <row r="2935" spans="32:34">
      <c r="AF2935" s="367">
        <f t="shared" si="45"/>
        <v>42736</v>
      </c>
      <c r="AG2935" s="368">
        <v>42745</v>
      </c>
      <c r="AH2935" s="370">
        <v>2919.01</v>
      </c>
    </row>
    <row r="2936" spans="32:34">
      <c r="AF2936" s="367">
        <f t="shared" si="45"/>
        <v>42736</v>
      </c>
      <c r="AG2936" s="368">
        <v>42746</v>
      </c>
      <c r="AH2936" s="370">
        <v>2949.6</v>
      </c>
    </row>
    <row r="2937" spans="32:34">
      <c r="AF2937" s="367">
        <f t="shared" si="45"/>
        <v>42736</v>
      </c>
      <c r="AG2937" s="368">
        <v>42747</v>
      </c>
      <c r="AH2937" s="370">
        <v>2980.8</v>
      </c>
    </row>
    <row r="2938" spans="32:34">
      <c r="AF2938" s="367">
        <f t="shared" si="45"/>
        <v>42736</v>
      </c>
      <c r="AG2938" s="368">
        <v>42748</v>
      </c>
      <c r="AH2938" s="370">
        <v>2930.19</v>
      </c>
    </row>
    <row r="2939" spans="32:34">
      <c r="AF2939" s="367">
        <f t="shared" si="45"/>
        <v>42736</v>
      </c>
      <c r="AG2939" s="368">
        <v>42749</v>
      </c>
      <c r="AH2939" s="370">
        <v>2935.96</v>
      </c>
    </row>
    <row r="2940" spans="32:34">
      <c r="AF2940" s="367">
        <f t="shared" si="45"/>
        <v>42736</v>
      </c>
      <c r="AG2940" s="368">
        <v>42750</v>
      </c>
      <c r="AH2940" s="370">
        <v>2935.96</v>
      </c>
    </row>
    <row r="2941" spans="32:34">
      <c r="AF2941" s="367">
        <f t="shared" si="45"/>
        <v>42736</v>
      </c>
      <c r="AG2941" s="368">
        <v>42751</v>
      </c>
      <c r="AH2941" s="370">
        <v>2935.96</v>
      </c>
    </row>
    <row r="2942" spans="32:34">
      <c r="AF2942" s="367">
        <f t="shared" si="45"/>
        <v>42736</v>
      </c>
      <c r="AG2942" s="368">
        <v>42752</v>
      </c>
      <c r="AH2942" s="370">
        <v>2935.96</v>
      </c>
    </row>
    <row r="2943" spans="32:34">
      <c r="AF2943" s="367">
        <f t="shared" si="45"/>
        <v>42736</v>
      </c>
      <c r="AG2943" s="368">
        <v>42753</v>
      </c>
      <c r="AH2943" s="370">
        <v>2924.77</v>
      </c>
    </row>
    <row r="2944" spans="32:34">
      <c r="AF2944" s="367">
        <f t="shared" si="45"/>
        <v>42736</v>
      </c>
      <c r="AG2944" s="368">
        <v>42754</v>
      </c>
      <c r="AH2944" s="370">
        <v>2934.58</v>
      </c>
    </row>
    <row r="2945" spans="32:34">
      <c r="AF2945" s="367">
        <f t="shared" si="45"/>
        <v>42736</v>
      </c>
      <c r="AG2945" s="368">
        <v>42755</v>
      </c>
      <c r="AH2945" s="370">
        <v>2938.24</v>
      </c>
    </row>
    <row r="2946" spans="32:34">
      <c r="AF2946" s="367">
        <f t="shared" si="45"/>
        <v>42736</v>
      </c>
      <c r="AG2946" s="368">
        <v>42756</v>
      </c>
      <c r="AH2946" s="370">
        <v>2927.91</v>
      </c>
    </row>
    <row r="2947" spans="32:34">
      <c r="AF2947" s="367">
        <f t="shared" si="45"/>
        <v>42736</v>
      </c>
      <c r="AG2947" s="368">
        <v>42757</v>
      </c>
      <c r="AH2947" s="370">
        <v>2927.91</v>
      </c>
    </row>
    <row r="2948" spans="32:34">
      <c r="AF2948" s="367">
        <f t="shared" ref="AF2948:AF3011" si="46">+DATE(YEAR(AG2948),MONTH(AG2948),1)</f>
        <v>42736</v>
      </c>
      <c r="AG2948" s="368">
        <v>42758</v>
      </c>
      <c r="AH2948" s="370">
        <v>2927.91</v>
      </c>
    </row>
    <row r="2949" spans="32:34">
      <c r="AF2949" s="367">
        <f t="shared" si="46"/>
        <v>42736</v>
      </c>
      <c r="AG2949" s="368">
        <v>42759</v>
      </c>
      <c r="AH2949" s="370">
        <v>2908.53</v>
      </c>
    </row>
    <row r="2950" spans="32:34">
      <c r="AF2950" s="367">
        <f t="shared" si="46"/>
        <v>42736</v>
      </c>
      <c r="AG2950" s="368">
        <v>42760</v>
      </c>
      <c r="AH2950" s="370">
        <v>2932.01</v>
      </c>
    </row>
    <row r="2951" spans="32:34">
      <c r="AF2951" s="367">
        <f t="shared" si="46"/>
        <v>42736</v>
      </c>
      <c r="AG2951" s="368">
        <v>42761</v>
      </c>
      <c r="AH2951" s="370">
        <v>2927.53</v>
      </c>
    </row>
    <row r="2952" spans="32:34">
      <c r="AF2952" s="367">
        <f t="shared" si="46"/>
        <v>42736</v>
      </c>
      <c r="AG2952" s="368">
        <v>42762</v>
      </c>
      <c r="AH2952" s="370">
        <v>2936.72</v>
      </c>
    </row>
    <row r="2953" spans="32:34">
      <c r="AF2953" s="367">
        <f t="shared" si="46"/>
        <v>42736</v>
      </c>
      <c r="AG2953" s="368">
        <v>42763</v>
      </c>
      <c r="AH2953" s="370">
        <v>2930.17</v>
      </c>
    </row>
    <row r="2954" spans="32:34">
      <c r="AF2954" s="367">
        <f t="shared" si="46"/>
        <v>42736</v>
      </c>
      <c r="AG2954" s="368">
        <v>42764</v>
      </c>
      <c r="AH2954" s="370">
        <v>2930.17</v>
      </c>
    </row>
    <row r="2955" spans="32:34">
      <c r="AF2955" s="367">
        <f t="shared" si="46"/>
        <v>42736</v>
      </c>
      <c r="AG2955" s="368">
        <v>42765</v>
      </c>
      <c r="AH2955" s="370">
        <v>2930.17</v>
      </c>
    </row>
    <row r="2956" spans="32:34">
      <c r="AF2956" s="367">
        <f t="shared" si="46"/>
        <v>42736</v>
      </c>
      <c r="AG2956" s="368">
        <v>42766</v>
      </c>
      <c r="AH2956" s="370">
        <v>2936.66</v>
      </c>
    </row>
    <row r="2957" spans="32:34">
      <c r="AF2957" s="367">
        <f t="shared" si="46"/>
        <v>42767</v>
      </c>
      <c r="AG2957" s="368">
        <v>42767</v>
      </c>
      <c r="AH2957" s="370">
        <v>2921.9</v>
      </c>
    </row>
    <row r="2958" spans="32:34">
      <c r="AF2958" s="367">
        <f t="shared" si="46"/>
        <v>42767</v>
      </c>
      <c r="AG2958" s="368">
        <v>42768</v>
      </c>
      <c r="AH2958" s="370">
        <v>2906.78</v>
      </c>
    </row>
    <row r="2959" spans="32:34">
      <c r="AF2959" s="367">
        <f t="shared" si="46"/>
        <v>42767</v>
      </c>
      <c r="AG2959" s="368">
        <v>42769</v>
      </c>
      <c r="AH2959" s="370">
        <v>2882.2</v>
      </c>
    </row>
    <row r="2960" spans="32:34">
      <c r="AF2960" s="367">
        <f t="shared" si="46"/>
        <v>42767</v>
      </c>
      <c r="AG2960" s="368">
        <v>42770</v>
      </c>
      <c r="AH2960" s="370">
        <v>2855.8</v>
      </c>
    </row>
    <row r="2961" spans="32:34">
      <c r="AF2961" s="367">
        <f t="shared" si="46"/>
        <v>42767</v>
      </c>
      <c r="AG2961" s="368">
        <v>42771</v>
      </c>
      <c r="AH2961" s="370">
        <v>2855.8</v>
      </c>
    </row>
    <row r="2962" spans="32:34">
      <c r="AF2962" s="367">
        <f t="shared" si="46"/>
        <v>42767</v>
      </c>
      <c r="AG2962" s="368">
        <v>42772</v>
      </c>
      <c r="AH2962" s="370">
        <v>2855.8</v>
      </c>
    </row>
    <row r="2963" spans="32:34">
      <c r="AF2963" s="367">
        <f t="shared" si="46"/>
        <v>42767</v>
      </c>
      <c r="AG2963" s="368">
        <v>42773</v>
      </c>
      <c r="AH2963" s="370">
        <v>2853.99</v>
      </c>
    </row>
    <row r="2964" spans="32:34">
      <c r="AF2964" s="367">
        <f t="shared" si="46"/>
        <v>42767</v>
      </c>
      <c r="AG2964" s="368">
        <v>42774</v>
      </c>
      <c r="AH2964" s="370">
        <v>2867.76</v>
      </c>
    </row>
    <row r="2965" spans="32:34">
      <c r="AF2965" s="367">
        <f t="shared" si="46"/>
        <v>42767</v>
      </c>
      <c r="AG2965" s="368">
        <v>42775</v>
      </c>
      <c r="AH2965" s="370">
        <v>2879.49</v>
      </c>
    </row>
    <row r="2966" spans="32:34">
      <c r="AF2966" s="367">
        <f t="shared" si="46"/>
        <v>42767</v>
      </c>
      <c r="AG2966" s="368">
        <v>42776</v>
      </c>
      <c r="AH2966" s="370">
        <v>2862.63</v>
      </c>
    </row>
    <row r="2967" spans="32:34">
      <c r="AF2967" s="367">
        <f t="shared" si="46"/>
        <v>42767</v>
      </c>
      <c r="AG2967" s="368">
        <v>42777</v>
      </c>
      <c r="AH2967" s="370">
        <v>2851.98</v>
      </c>
    </row>
    <row r="2968" spans="32:34">
      <c r="AF2968" s="367">
        <f t="shared" si="46"/>
        <v>42767</v>
      </c>
      <c r="AG2968" s="368">
        <v>42778</v>
      </c>
      <c r="AH2968" s="370">
        <v>2851.98</v>
      </c>
    </row>
    <row r="2969" spans="32:34">
      <c r="AF2969" s="367">
        <f t="shared" si="46"/>
        <v>42767</v>
      </c>
      <c r="AG2969" s="368">
        <v>42779</v>
      </c>
      <c r="AH2969" s="370">
        <v>2851.98</v>
      </c>
    </row>
    <row r="2970" spans="32:34">
      <c r="AF2970" s="367">
        <f t="shared" si="46"/>
        <v>42767</v>
      </c>
      <c r="AG2970" s="368">
        <v>42780</v>
      </c>
      <c r="AH2970" s="370">
        <v>2875.46</v>
      </c>
    </row>
    <row r="2971" spans="32:34">
      <c r="AF2971" s="367">
        <f t="shared" si="46"/>
        <v>42767</v>
      </c>
      <c r="AG2971" s="368">
        <v>42781</v>
      </c>
      <c r="AH2971" s="370">
        <v>2867.64</v>
      </c>
    </row>
    <row r="2972" spans="32:34">
      <c r="AF2972" s="367">
        <f t="shared" si="46"/>
        <v>42767</v>
      </c>
      <c r="AG2972" s="368">
        <v>42782</v>
      </c>
      <c r="AH2972" s="370">
        <v>2876.03</v>
      </c>
    </row>
    <row r="2973" spans="32:34">
      <c r="AF2973" s="367">
        <f t="shared" si="46"/>
        <v>42767</v>
      </c>
      <c r="AG2973" s="368">
        <v>42783</v>
      </c>
      <c r="AH2973" s="370">
        <v>2875.68</v>
      </c>
    </row>
    <row r="2974" spans="32:34">
      <c r="AF2974" s="367">
        <f t="shared" si="46"/>
        <v>42767</v>
      </c>
      <c r="AG2974" s="368">
        <v>42784</v>
      </c>
      <c r="AH2974" s="370">
        <v>2902.81</v>
      </c>
    </row>
    <row r="2975" spans="32:34">
      <c r="AF2975" s="367">
        <f t="shared" si="46"/>
        <v>42767</v>
      </c>
      <c r="AG2975" s="368">
        <v>42785</v>
      </c>
      <c r="AH2975" s="370">
        <v>2902.81</v>
      </c>
    </row>
    <row r="2976" spans="32:34">
      <c r="AF2976" s="367">
        <f t="shared" si="46"/>
        <v>42767</v>
      </c>
      <c r="AG2976" s="368">
        <v>42786</v>
      </c>
      <c r="AH2976" s="370">
        <v>2902.81</v>
      </c>
    </row>
    <row r="2977" spans="32:34">
      <c r="AF2977" s="367">
        <f t="shared" si="46"/>
        <v>42767</v>
      </c>
      <c r="AG2977" s="368">
        <v>42787</v>
      </c>
      <c r="AH2977" s="370">
        <v>2902.81</v>
      </c>
    </row>
    <row r="2978" spans="32:34">
      <c r="AF2978" s="367">
        <f t="shared" si="46"/>
        <v>42767</v>
      </c>
      <c r="AG2978" s="368">
        <v>42788</v>
      </c>
      <c r="AH2978" s="370">
        <v>2902.68</v>
      </c>
    </row>
    <row r="2979" spans="32:34">
      <c r="AF2979" s="367">
        <f t="shared" si="46"/>
        <v>42767</v>
      </c>
      <c r="AG2979" s="368">
        <v>42789</v>
      </c>
      <c r="AH2979" s="370">
        <v>2893.55</v>
      </c>
    </row>
    <row r="2980" spans="32:34">
      <c r="AF2980" s="367">
        <f t="shared" si="46"/>
        <v>42767</v>
      </c>
      <c r="AG2980" s="368">
        <v>42790</v>
      </c>
      <c r="AH2980" s="370">
        <v>2871.67</v>
      </c>
    </row>
    <row r="2981" spans="32:34">
      <c r="AF2981" s="367">
        <f t="shared" si="46"/>
        <v>42767</v>
      </c>
      <c r="AG2981" s="368">
        <v>42791</v>
      </c>
      <c r="AH2981" s="370">
        <v>2886.52</v>
      </c>
    </row>
    <row r="2982" spans="32:34">
      <c r="AF2982" s="367">
        <f t="shared" si="46"/>
        <v>42767</v>
      </c>
      <c r="AG2982" s="368">
        <v>42792</v>
      </c>
      <c r="AH2982" s="370">
        <v>2886.52</v>
      </c>
    </row>
    <row r="2983" spans="32:34">
      <c r="AF2983" s="367">
        <f t="shared" si="46"/>
        <v>42767</v>
      </c>
      <c r="AG2983" s="368">
        <v>42793</v>
      </c>
      <c r="AH2983" s="370">
        <v>2886.52</v>
      </c>
    </row>
    <row r="2984" spans="32:34">
      <c r="AF2984" s="367">
        <f t="shared" si="46"/>
        <v>42767</v>
      </c>
      <c r="AG2984" s="368">
        <v>42794</v>
      </c>
      <c r="AH2984" s="370">
        <v>2896.27</v>
      </c>
    </row>
    <row r="2985" spans="32:34">
      <c r="AF2985" s="367">
        <f t="shared" si="46"/>
        <v>42795</v>
      </c>
      <c r="AG2985" s="368">
        <v>42795</v>
      </c>
      <c r="AH2985" s="370">
        <v>2919.17</v>
      </c>
    </row>
    <row r="2986" spans="32:34">
      <c r="AF2986" s="367">
        <f t="shared" si="46"/>
        <v>42795</v>
      </c>
      <c r="AG2986" s="368">
        <v>42796</v>
      </c>
      <c r="AH2986" s="370">
        <v>2935.75</v>
      </c>
    </row>
    <row r="2987" spans="32:34">
      <c r="AF2987" s="367">
        <f t="shared" si="46"/>
        <v>42795</v>
      </c>
      <c r="AG2987" s="368">
        <v>42797</v>
      </c>
      <c r="AH2987" s="370">
        <v>2960.91</v>
      </c>
    </row>
    <row r="2988" spans="32:34">
      <c r="AF2988" s="367">
        <f t="shared" si="46"/>
        <v>42795</v>
      </c>
      <c r="AG2988" s="368">
        <v>42798</v>
      </c>
      <c r="AH2988" s="370">
        <v>2977.43</v>
      </c>
    </row>
    <row r="2989" spans="32:34">
      <c r="AF2989" s="367">
        <f t="shared" si="46"/>
        <v>42795</v>
      </c>
      <c r="AG2989" s="368">
        <v>42799</v>
      </c>
      <c r="AH2989" s="370">
        <v>2977.43</v>
      </c>
    </row>
    <row r="2990" spans="32:34">
      <c r="AF2990" s="367">
        <f t="shared" si="46"/>
        <v>42795</v>
      </c>
      <c r="AG2990" s="368">
        <v>42800</v>
      </c>
      <c r="AH2990" s="370">
        <v>2977.43</v>
      </c>
    </row>
    <row r="2991" spans="32:34">
      <c r="AF2991" s="367">
        <f t="shared" si="46"/>
        <v>42795</v>
      </c>
      <c r="AG2991" s="368">
        <v>42801</v>
      </c>
      <c r="AH2991" s="370">
        <v>2966.67</v>
      </c>
    </row>
    <row r="2992" spans="32:34">
      <c r="AF2992" s="367">
        <f t="shared" si="46"/>
        <v>42795</v>
      </c>
      <c r="AG2992" s="368">
        <v>42802</v>
      </c>
      <c r="AH2992" s="370">
        <v>2972.44</v>
      </c>
    </row>
    <row r="2993" spans="32:34">
      <c r="AF2993" s="367">
        <f t="shared" si="46"/>
        <v>42795</v>
      </c>
      <c r="AG2993" s="368">
        <v>42803</v>
      </c>
      <c r="AH2993" s="370">
        <v>2987.88</v>
      </c>
    </row>
    <row r="2994" spans="32:34">
      <c r="AF2994" s="367">
        <f t="shared" si="46"/>
        <v>42795</v>
      </c>
      <c r="AG2994" s="368">
        <v>42804</v>
      </c>
      <c r="AH2994" s="370">
        <v>3004.43</v>
      </c>
    </row>
    <row r="2995" spans="32:34">
      <c r="AF2995" s="367">
        <f t="shared" si="46"/>
        <v>42795</v>
      </c>
      <c r="AG2995" s="368">
        <v>42805</v>
      </c>
      <c r="AH2995" s="370">
        <v>2980.83</v>
      </c>
    </row>
    <row r="2996" spans="32:34">
      <c r="AF2996" s="367">
        <f t="shared" si="46"/>
        <v>42795</v>
      </c>
      <c r="AG2996" s="368">
        <v>42806</v>
      </c>
      <c r="AH2996" s="370">
        <v>2980.83</v>
      </c>
    </row>
    <row r="2997" spans="32:34">
      <c r="AF2997" s="367">
        <f t="shared" si="46"/>
        <v>42795</v>
      </c>
      <c r="AG2997" s="368">
        <v>42807</v>
      </c>
      <c r="AH2997" s="370">
        <v>2980.83</v>
      </c>
    </row>
    <row r="2998" spans="32:34">
      <c r="AF2998" s="367">
        <f t="shared" si="46"/>
        <v>42795</v>
      </c>
      <c r="AG2998" s="368">
        <v>42808</v>
      </c>
      <c r="AH2998" s="370">
        <v>2987.93</v>
      </c>
    </row>
    <row r="2999" spans="32:34">
      <c r="AF2999" s="367">
        <f t="shared" si="46"/>
        <v>42795</v>
      </c>
      <c r="AG2999" s="368">
        <v>42809</v>
      </c>
      <c r="AH2999" s="370">
        <v>2997.73</v>
      </c>
    </row>
    <row r="3000" spans="32:34">
      <c r="AF3000" s="367">
        <f t="shared" si="46"/>
        <v>42795</v>
      </c>
      <c r="AG3000" s="368">
        <v>42810</v>
      </c>
      <c r="AH3000" s="370">
        <v>2972.61</v>
      </c>
    </row>
    <row r="3001" spans="32:34">
      <c r="AF3001" s="367">
        <f t="shared" si="46"/>
        <v>42795</v>
      </c>
      <c r="AG3001" s="368">
        <v>42811</v>
      </c>
      <c r="AH3001" s="370">
        <v>2923.96</v>
      </c>
    </row>
    <row r="3002" spans="32:34">
      <c r="AF3002" s="367">
        <f t="shared" si="46"/>
        <v>42795</v>
      </c>
      <c r="AG3002" s="368">
        <v>42812</v>
      </c>
      <c r="AH3002" s="370">
        <v>2912.53</v>
      </c>
    </row>
    <row r="3003" spans="32:34">
      <c r="AF3003" s="367">
        <f t="shared" si="46"/>
        <v>42795</v>
      </c>
      <c r="AG3003" s="368">
        <v>42813</v>
      </c>
      <c r="AH3003" s="370">
        <v>2912.53</v>
      </c>
    </row>
    <row r="3004" spans="32:34">
      <c r="AF3004" s="367">
        <f t="shared" si="46"/>
        <v>42795</v>
      </c>
      <c r="AG3004" s="368">
        <v>42814</v>
      </c>
      <c r="AH3004" s="370">
        <v>2912.53</v>
      </c>
    </row>
    <row r="3005" spans="32:34">
      <c r="AF3005" s="367">
        <f t="shared" si="46"/>
        <v>42795</v>
      </c>
      <c r="AG3005" s="368">
        <v>42815</v>
      </c>
      <c r="AH3005" s="370">
        <v>2912.53</v>
      </c>
    </row>
    <row r="3006" spans="32:34">
      <c r="AF3006" s="367">
        <f t="shared" si="46"/>
        <v>42795</v>
      </c>
      <c r="AG3006" s="368">
        <v>42816</v>
      </c>
      <c r="AH3006" s="370">
        <v>2904.87</v>
      </c>
    </row>
    <row r="3007" spans="32:34">
      <c r="AF3007" s="367">
        <f t="shared" si="46"/>
        <v>42795</v>
      </c>
      <c r="AG3007" s="368">
        <v>42817</v>
      </c>
      <c r="AH3007" s="370">
        <v>2936.82</v>
      </c>
    </row>
    <row r="3008" spans="32:34">
      <c r="AF3008" s="367">
        <f t="shared" si="46"/>
        <v>42795</v>
      </c>
      <c r="AG3008" s="368">
        <v>42818</v>
      </c>
      <c r="AH3008" s="370">
        <v>2921.25</v>
      </c>
    </row>
    <row r="3009" spans="32:34">
      <c r="AF3009" s="367">
        <f t="shared" si="46"/>
        <v>42795</v>
      </c>
      <c r="AG3009" s="368">
        <v>42819</v>
      </c>
      <c r="AH3009" s="370">
        <v>2899.94</v>
      </c>
    </row>
    <row r="3010" spans="32:34">
      <c r="AF3010" s="367">
        <f t="shared" si="46"/>
        <v>42795</v>
      </c>
      <c r="AG3010" s="368">
        <v>42820</v>
      </c>
      <c r="AH3010" s="370">
        <v>2899.94</v>
      </c>
    </row>
    <row r="3011" spans="32:34">
      <c r="AF3011" s="367">
        <f t="shared" si="46"/>
        <v>42795</v>
      </c>
      <c r="AG3011" s="368">
        <v>42821</v>
      </c>
      <c r="AH3011" s="370">
        <v>2899.94</v>
      </c>
    </row>
    <row r="3012" spans="32:34">
      <c r="AF3012" s="367">
        <f t="shared" ref="AF3012:AF3075" si="47">+DATE(YEAR(AG3012),MONTH(AG3012),1)</f>
        <v>42795</v>
      </c>
      <c r="AG3012" s="368">
        <v>42822</v>
      </c>
      <c r="AH3012" s="370">
        <v>2913.48</v>
      </c>
    </row>
    <row r="3013" spans="32:34">
      <c r="AF3013" s="367">
        <f t="shared" si="47"/>
        <v>42795</v>
      </c>
      <c r="AG3013" s="368">
        <v>42823</v>
      </c>
      <c r="AH3013" s="370">
        <v>2911.99</v>
      </c>
    </row>
    <row r="3014" spans="32:34">
      <c r="AF3014" s="367">
        <f t="shared" si="47"/>
        <v>42795</v>
      </c>
      <c r="AG3014" s="368">
        <v>42824</v>
      </c>
      <c r="AH3014" s="370">
        <v>2888.02</v>
      </c>
    </row>
    <row r="3015" spans="32:34">
      <c r="AF3015" s="367">
        <f t="shared" si="47"/>
        <v>42795</v>
      </c>
      <c r="AG3015" s="368">
        <v>42825</v>
      </c>
      <c r="AH3015" s="370">
        <v>2880.24</v>
      </c>
    </row>
    <row r="3016" spans="32:34">
      <c r="AF3016" s="367">
        <f t="shared" si="47"/>
        <v>42826</v>
      </c>
      <c r="AG3016" s="368">
        <v>42826</v>
      </c>
      <c r="AH3016" s="370">
        <v>2885.57</v>
      </c>
    </row>
    <row r="3017" spans="32:34">
      <c r="AF3017" s="367">
        <f t="shared" si="47"/>
        <v>42826</v>
      </c>
      <c r="AG3017" s="368">
        <v>42827</v>
      </c>
      <c r="AH3017" s="370">
        <v>2885.57</v>
      </c>
    </row>
    <row r="3018" spans="32:34">
      <c r="AF3018" s="367">
        <f t="shared" si="47"/>
        <v>42826</v>
      </c>
      <c r="AG3018" s="368">
        <v>42828</v>
      </c>
      <c r="AH3018" s="370">
        <v>2885.57</v>
      </c>
    </row>
    <row r="3019" spans="32:34">
      <c r="AF3019" s="367">
        <f t="shared" si="47"/>
        <v>42826</v>
      </c>
      <c r="AG3019" s="368">
        <v>42829</v>
      </c>
      <c r="AH3019" s="370">
        <v>2866.87</v>
      </c>
    </row>
    <row r="3020" spans="32:34">
      <c r="AF3020" s="367">
        <f t="shared" si="47"/>
        <v>42826</v>
      </c>
      <c r="AG3020" s="368">
        <v>42830</v>
      </c>
      <c r="AH3020" s="370">
        <v>2869.32</v>
      </c>
    </row>
    <row r="3021" spans="32:34">
      <c r="AF3021" s="367">
        <f t="shared" si="47"/>
        <v>42826</v>
      </c>
      <c r="AG3021" s="368">
        <v>42831</v>
      </c>
      <c r="AH3021" s="370">
        <v>2857.65</v>
      </c>
    </row>
    <row r="3022" spans="32:34">
      <c r="AF3022" s="367">
        <f t="shared" si="47"/>
        <v>42826</v>
      </c>
      <c r="AG3022" s="368">
        <v>42832</v>
      </c>
      <c r="AH3022" s="370">
        <v>2853.1</v>
      </c>
    </row>
    <row r="3023" spans="32:34">
      <c r="AF3023" s="367">
        <f t="shared" si="47"/>
        <v>42826</v>
      </c>
      <c r="AG3023" s="368">
        <v>42833</v>
      </c>
      <c r="AH3023" s="370">
        <v>2858</v>
      </c>
    </row>
    <row r="3024" spans="32:34">
      <c r="AF3024" s="367">
        <f t="shared" si="47"/>
        <v>42826</v>
      </c>
      <c r="AG3024" s="368">
        <v>42834</v>
      </c>
      <c r="AH3024" s="370">
        <v>2858</v>
      </c>
    </row>
    <row r="3025" spans="32:34">
      <c r="AF3025" s="367">
        <f t="shared" si="47"/>
        <v>42826</v>
      </c>
      <c r="AG3025" s="368">
        <v>42835</v>
      </c>
      <c r="AH3025" s="370">
        <v>2858</v>
      </c>
    </row>
    <row r="3026" spans="32:34">
      <c r="AF3026" s="367">
        <f t="shared" si="47"/>
        <v>42826</v>
      </c>
      <c r="AG3026" s="368">
        <v>42836</v>
      </c>
      <c r="AH3026" s="370">
        <v>2867.13</v>
      </c>
    </row>
    <row r="3027" spans="32:34">
      <c r="AF3027" s="367">
        <f t="shared" si="47"/>
        <v>42826</v>
      </c>
      <c r="AG3027" s="368">
        <v>42837</v>
      </c>
      <c r="AH3027" s="370">
        <v>2868.6</v>
      </c>
    </row>
    <row r="3028" spans="32:34">
      <c r="AF3028" s="367">
        <f t="shared" si="47"/>
        <v>42826</v>
      </c>
      <c r="AG3028" s="368">
        <v>42838</v>
      </c>
      <c r="AH3028" s="370">
        <v>2872.55</v>
      </c>
    </row>
    <row r="3029" spans="32:34">
      <c r="AF3029" s="367">
        <f t="shared" si="47"/>
        <v>42826</v>
      </c>
      <c r="AG3029" s="368">
        <v>42839</v>
      </c>
      <c r="AH3029" s="370">
        <v>2872.55</v>
      </c>
    </row>
    <row r="3030" spans="32:34">
      <c r="AF3030" s="367">
        <f t="shared" si="47"/>
        <v>42826</v>
      </c>
      <c r="AG3030" s="368">
        <v>42840</v>
      </c>
      <c r="AH3030" s="370">
        <v>2872.55</v>
      </c>
    </row>
    <row r="3031" spans="32:34">
      <c r="AF3031" s="367">
        <f t="shared" si="47"/>
        <v>42826</v>
      </c>
      <c r="AG3031" s="368">
        <v>42841</v>
      </c>
      <c r="AH3031" s="370">
        <v>2872.55</v>
      </c>
    </row>
    <row r="3032" spans="32:34">
      <c r="AF3032" s="367">
        <f t="shared" si="47"/>
        <v>42826</v>
      </c>
      <c r="AG3032" s="368">
        <v>42842</v>
      </c>
      <c r="AH3032" s="370">
        <v>2872.55</v>
      </c>
    </row>
    <row r="3033" spans="32:34">
      <c r="AF3033" s="367">
        <f t="shared" si="47"/>
        <v>42826</v>
      </c>
      <c r="AG3033" s="368">
        <v>42843</v>
      </c>
      <c r="AH3033" s="370">
        <v>2854.89</v>
      </c>
    </row>
    <row r="3034" spans="32:34">
      <c r="AF3034" s="367">
        <f t="shared" si="47"/>
        <v>42826</v>
      </c>
      <c r="AG3034" s="368">
        <v>42844</v>
      </c>
      <c r="AH3034" s="370">
        <v>2837.9</v>
      </c>
    </row>
    <row r="3035" spans="32:34">
      <c r="AF3035" s="367">
        <f t="shared" si="47"/>
        <v>42826</v>
      </c>
      <c r="AG3035" s="368">
        <v>42845</v>
      </c>
      <c r="AH3035" s="370">
        <v>2856.48</v>
      </c>
    </row>
    <row r="3036" spans="32:34">
      <c r="AF3036" s="367">
        <f t="shared" si="47"/>
        <v>42826</v>
      </c>
      <c r="AG3036" s="368">
        <v>42846</v>
      </c>
      <c r="AH3036" s="370">
        <v>2863.39</v>
      </c>
    </row>
    <row r="3037" spans="32:34">
      <c r="AF3037" s="367">
        <f t="shared" si="47"/>
        <v>42826</v>
      </c>
      <c r="AG3037" s="368">
        <v>42847</v>
      </c>
      <c r="AH3037" s="370">
        <v>2868.89</v>
      </c>
    </row>
    <row r="3038" spans="32:34">
      <c r="AF3038" s="367">
        <f t="shared" si="47"/>
        <v>42826</v>
      </c>
      <c r="AG3038" s="368">
        <v>42848</v>
      </c>
      <c r="AH3038" s="370">
        <v>2868.89</v>
      </c>
    </row>
    <row r="3039" spans="32:34">
      <c r="AF3039" s="367">
        <f t="shared" si="47"/>
        <v>42826</v>
      </c>
      <c r="AG3039" s="368">
        <v>42849</v>
      </c>
      <c r="AH3039" s="370">
        <v>2868.89</v>
      </c>
    </row>
    <row r="3040" spans="32:34">
      <c r="AF3040" s="367">
        <f t="shared" si="47"/>
        <v>42826</v>
      </c>
      <c r="AG3040" s="368">
        <v>42850</v>
      </c>
      <c r="AH3040" s="370">
        <v>2871.98</v>
      </c>
    </row>
    <row r="3041" spans="32:34">
      <c r="AF3041" s="367">
        <f t="shared" si="47"/>
        <v>42826</v>
      </c>
      <c r="AG3041" s="368">
        <v>42851</v>
      </c>
      <c r="AH3041" s="370">
        <v>2899.13</v>
      </c>
    </row>
    <row r="3042" spans="32:34">
      <c r="AF3042" s="367">
        <f t="shared" si="47"/>
        <v>42826</v>
      </c>
      <c r="AG3042" s="368">
        <v>42852</v>
      </c>
      <c r="AH3042" s="370">
        <v>2928.07</v>
      </c>
    </row>
    <row r="3043" spans="32:34">
      <c r="AF3043" s="367">
        <f t="shared" si="47"/>
        <v>42826</v>
      </c>
      <c r="AG3043" s="368">
        <v>42853</v>
      </c>
      <c r="AH3043" s="370">
        <v>2944.31</v>
      </c>
    </row>
    <row r="3044" spans="32:34">
      <c r="AF3044" s="367">
        <f t="shared" si="47"/>
        <v>42826</v>
      </c>
      <c r="AG3044" s="368">
        <v>42854</v>
      </c>
      <c r="AH3044" s="370">
        <v>2947.85</v>
      </c>
    </row>
    <row r="3045" spans="32:34">
      <c r="AF3045" s="367">
        <f t="shared" si="47"/>
        <v>42826</v>
      </c>
      <c r="AG3045" s="368">
        <v>42855</v>
      </c>
      <c r="AH3045" s="370">
        <v>2947.85</v>
      </c>
    </row>
    <row r="3046" spans="32:34">
      <c r="AF3046" s="367">
        <f t="shared" si="47"/>
        <v>42856</v>
      </c>
      <c r="AG3046" s="368">
        <v>42856</v>
      </c>
      <c r="AH3046" s="370">
        <v>2947.85</v>
      </c>
    </row>
    <row r="3047" spans="32:34">
      <c r="AF3047" s="367">
        <f t="shared" si="47"/>
        <v>42856</v>
      </c>
      <c r="AG3047" s="368">
        <v>42857</v>
      </c>
      <c r="AH3047" s="370">
        <v>2947.85</v>
      </c>
    </row>
    <row r="3048" spans="32:34">
      <c r="AF3048" s="367">
        <f t="shared" si="47"/>
        <v>42856</v>
      </c>
      <c r="AG3048" s="368">
        <v>42858</v>
      </c>
      <c r="AH3048" s="370">
        <v>2945.53</v>
      </c>
    </row>
    <row r="3049" spans="32:34">
      <c r="AF3049" s="367">
        <f t="shared" si="47"/>
        <v>42856</v>
      </c>
      <c r="AG3049" s="368">
        <v>42859</v>
      </c>
      <c r="AH3049" s="370">
        <v>2930.17</v>
      </c>
    </row>
    <row r="3050" spans="32:34">
      <c r="AF3050" s="367">
        <f t="shared" si="47"/>
        <v>42856</v>
      </c>
      <c r="AG3050" s="368">
        <v>42860</v>
      </c>
      <c r="AH3050" s="370">
        <v>2967.44</v>
      </c>
    </row>
    <row r="3051" spans="32:34">
      <c r="AF3051" s="367">
        <f t="shared" si="47"/>
        <v>42856</v>
      </c>
      <c r="AG3051" s="368">
        <v>42861</v>
      </c>
      <c r="AH3051" s="370">
        <v>2961.78</v>
      </c>
    </row>
    <row r="3052" spans="32:34">
      <c r="AF3052" s="367">
        <f t="shared" si="47"/>
        <v>42856</v>
      </c>
      <c r="AG3052" s="368">
        <v>42862</v>
      </c>
      <c r="AH3052" s="370">
        <v>2961.78</v>
      </c>
    </row>
    <row r="3053" spans="32:34">
      <c r="AF3053" s="367">
        <f t="shared" si="47"/>
        <v>42856</v>
      </c>
      <c r="AG3053" s="368">
        <v>42863</v>
      </c>
      <c r="AH3053" s="370">
        <v>2961.78</v>
      </c>
    </row>
    <row r="3054" spans="32:34">
      <c r="AF3054" s="367">
        <f t="shared" si="47"/>
        <v>42856</v>
      </c>
      <c r="AG3054" s="368">
        <v>42864</v>
      </c>
      <c r="AH3054" s="370">
        <v>2959.26</v>
      </c>
    </row>
    <row r="3055" spans="32:34">
      <c r="AF3055" s="367">
        <f t="shared" si="47"/>
        <v>42856</v>
      </c>
      <c r="AG3055" s="368">
        <v>42865</v>
      </c>
      <c r="AH3055" s="370">
        <v>2967.24</v>
      </c>
    </row>
    <row r="3056" spans="32:34">
      <c r="AF3056" s="367">
        <f t="shared" si="47"/>
        <v>42856</v>
      </c>
      <c r="AG3056" s="368">
        <v>42866</v>
      </c>
      <c r="AH3056" s="370">
        <v>2949.35</v>
      </c>
    </row>
    <row r="3057" spans="32:34">
      <c r="AF3057" s="367">
        <f t="shared" si="47"/>
        <v>42856</v>
      </c>
      <c r="AG3057" s="368">
        <v>42867</v>
      </c>
      <c r="AH3057" s="370">
        <v>2933.92</v>
      </c>
    </row>
    <row r="3058" spans="32:34">
      <c r="AF3058" s="367">
        <f t="shared" si="47"/>
        <v>42856</v>
      </c>
      <c r="AG3058" s="368">
        <v>42868</v>
      </c>
      <c r="AH3058" s="370">
        <v>2918.69</v>
      </c>
    </row>
    <row r="3059" spans="32:34">
      <c r="AF3059" s="367">
        <f t="shared" si="47"/>
        <v>42856</v>
      </c>
      <c r="AG3059" s="368">
        <v>42869</v>
      </c>
      <c r="AH3059" s="370">
        <v>2918.69</v>
      </c>
    </row>
    <row r="3060" spans="32:34">
      <c r="AF3060" s="367">
        <f t="shared" si="47"/>
        <v>42856</v>
      </c>
      <c r="AG3060" s="368">
        <v>42870</v>
      </c>
      <c r="AH3060" s="370">
        <v>2918.69</v>
      </c>
    </row>
    <row r="3061" spans="32:34">
      <c r="AF3061" s="367">
        <f t="shared" si="47"/>
        <v>42856</v>
      </c>
      <c r="AG3061" s="368">
        <v>42871</v>
      </c>
      <c r="AH3061" s="370">
        <v>2883.87</v>
      </c>
    </row>
    <row r="3062" spans="32:34">
      <c r="AF3062" s="367">
        <f t="shared" si="47"/>
        <v>42856</v>
      </c>
      <c r="AG3062" s="368">
        <v>42872</v>
      </c>
      <c r="AH3062" s="370">
        <v>2873.22</v>
      </c>
    </row>
    <row r="3063" spans="32:34">
      <c r="AF3063" s="367">
        <f t="shared" si="47"/>
        <v>42856</v>
      </c>
      <c r="AG3063" s="368">
        <v>42873</v>
      </c>
      <c r="AH3063" s="370">
        <v>2893.4</v>
      </c>
    </row>
    <row r="3064" spans="32:34">
      <c r="AF3064" s="367">
        <f t="shared" si="47"/>
        <v>42856</v>
      </c>
      <c r="AG3064" s="368">
        <v>42874</v>
      </c>
      <c r="AH3064" s="370">
        <v>2932.16</v>
      </c>
    </row>
    <row r="3065" spans="32:34">
      <c r="AF3065" s="367">
        <f t="shared" si="47"/>
        <v>42856</v>
      </c>
      <c r="AG3065" s="368">
        <v>42875</v>
      </c>
      <c r="AH3065" s="370">
        <v>2889.45</v>
      </c>
    </row>
    <row r="3066" spans="32:34">
      <c r="AF3066" s="367">
        <f t="shared" si="47"/>
        <v>42856</v>
      </c>
      <c r="AG3066" s="368">
        <v>42876</v>
      </c>
      <c r="AH3066" s="370">
        <v>2889.45</v>
      </c>
    </row>
    <row r="3067" spans="32:34">
      <c r="AF3067" s="367">
        <f t="shared" si="47"/>
        <v>42856</v>
      </c>
      <c r="AG3067" s="368">
        <v>42877</v>
      </c>
      <c r="AH3067" s="370">
        <v>2889.45</v>
      </c>
    </row>
    <row r="3068" spans="32:34">
      <c r="AF3068" s="367">
        <f t="shared" si="47"/>
        <v>42856</v>
      </c>
      <c r="AG3068" s="368">
        <v>42878</v>
      </c>
      <c r="AH3068" s="370">
        <v>2895.12</v>
      </c>
    </row>
    <row r="3069" spans="32:34">
      <c r="AF3069" s="367">
        <f t="shared" si="47"/>
        <v>42856</v>
      </c>
      <c r="AG3069" s="368">
        <v>42879</v>
      </c>
      <c r="AH3069" s="370">
        <v>2904.61</v>
      </c>
    </row>
    <row r="3070" spans="32:34">
      <c r="AF3070" s="367">
        <f t="shared" si="47"/>
        <v>42856</v>
      </c>
      <c r="AG3070" s="368">
        <v>42880</v>
      </c>
      <c r="AH3070" s="370">
        <v>2905.29</v>
      </c>
    </row>
    <row r="3071" spans="32:34">
      <c r="AF3071" s="367">
        <f t="shared" si="47"/>
        <v>42856</v>
      </c>
      <c r="AG3071" s="368">
        <v>42881</v>
      </c>
      <c r="AH3071" s="370">
        <v>2911.66</v>
      </c>
    </row>
    <row r="3072" spans="32:34">
      <c r="AF3072" s="367">
        <f t="shared" si="47"/>
        <v>42856</v>
      </c>
      <c r="AG3072" s="368">
        <v>42882</v>
      </c>
      <c r="AH3072" s="370">
        <v>2913.47</v>
      </c>
    </row>
    <row r="3073" spans="32:34">
      <c r="AF3073" s="367">
        <f t="shared" si="47"/>
        <v>42856</v>
      </c>
      <c r="AG3073" s="368">
        <v>42883</v>
      </c>
      <c r="AH3073" s="370">
        <v>2913.47</v>
      </c>
    </row>
    <row r="3074" spans="32:34">
      <c r="AF3074" s="367">
        <f t="shared" si="47"/>
        <v>42856</v>
      </c>
      <c r="AG3074" s="368">
        <v>42884</v>
      </c>
      <c r="AH3074" s="370">
        <v>2913.47</v>
      </c>
    </row>
    <row r="3075" spans="32:34">
      <c r="AF3075" s="367">
        <f t="shared" si="47"/>
        <v>42856</v>
      </c>
      <c r="AG3075" s="368">
        <v>42885</v>
      </c>
      <c r="AH3075" s="370">
        <v>2913.47</v>
      </c>
    </row>
    <row r="3076" spans="32:34">
      <c r="AF3076" s="367">
        <f t="shared" ref="AF3076:AF3139" si="48">+DATE(YEAR(AG3076),MONTH(AG3076),1)</f>
        <v>42856</v>
      </c>
      <c r="AG3076" s="368">
        <v>42886</v>
      </c>
      <c r="AH3076" s="370">
        <v>2920.42</v>
      </c>
    </row>
    <row r="3077" spans="32:34">
      <c r="AF3077" s="367">
        <f t="shared" si="48"/>
        <v>42887</v>
      </c>
      <c r="AG3077" s="368">
        <v>42887</v>
      </c>
      <c r="AH3077" s="370">
        <v>2921</v>
      </c>
    </row>
    <row r="3078" spans="32:34">
      <c r="AF3078" s="367">
        <f t="shared" si="48"/>
        <v>42887</v>
      </c>
      <c r="AG3078" s="368">
        <v>42888</v>
      </c>
      <c r="AH3078" s="370">
        <v>2895.73</v>
      </c>
    </row>
    <row r="3079" spans="32:34">
      <c r="AF3079" s="367">
        <f t="shared" si="48"/>
        <v>42887</v>
      </c>
      <c r="AG3079" s="368">
        <v>42889</v>
      </c>
      <c r="AH3079" s="370">
        <v>2894.72</v>
      </c>
    </row>
    <row r="3080" spans="32:34">
      <c r="AF3080" s="367">
        <f t="shared" si="48"/>
        <v>42887</v>
      </c>
      <c r="AG3080" s="368">
        <v>42890</v>
      </c>
      <c r="AH3080" s="370">
        <v>2894.72</v>
      </c>
    </row>
    <row r="3081" spans="32:34">
      <c r="AF3081" s="367">
        <f t="shared" si="48"/>
        <v>42887</v>
      </c>
      <c r="AG3081" s="368">
        <v>42891</v>
      </c>
      <c r="AH3081" s="370">
        <v>2894.72</v>
      </c>
    </row>
    <row r="3082" spans="32:34">
      <c r="AF3082" s="367">
        <f t="shared" si="48"/>
        <v>42887</v>
      </c>
      <c r="AG3082" s="368">
        <v>42892</v>
      </c>
      <c r="AH3082" s="370">
        <v>2895.85</v>
      </c>
    </row>
    <row r="3083" spans="32:34">
      <c r="AF3083" s="367">
        <f t="shared" si="48"/>
        <v>42887</v>
      </c>
      <c r="AG3083" s="368">
        <v>42893</v>
      </c>
      <c r="AH3083" s="370">
        <v>2893.76</v>
      </c>
    </row>
    <row r="3084" spans="32:34">
      <c r="AF3084" s="367">
        <f t="shared" si="48"/>
        <v>42887</v>
      </c>
      <c r="AG3084" s="368">
        <v>42894</v>
      </c>
      <c r="AH3084" s="370">
        <v>2907.1</v>
      </c>
    </row>
    <row r="3085" spans="32:34">
      <c r="AF3085" s="367">
        <f t="shared" si="48"/>
        <v>42887</v>
      </c>
      <c r="AG3085" s="368">
        <v>42895</v>
      </c>
      <c r="AH3085" s="370">
        <v>2919.82</v>
      </c>
    </row>
    <row r="3086" spans="32:34">
      <c r="AF3086" s="367">
        <f t="shared" si="48"/>
        <v>42887</v>
      </c>
      <c r="AG3086" s="368">
        <v>42896</v>
      </c>
      <c r="AH3086" s="370">
        <v>2919.58</v>
      </c>
    </row>
    <row r="3087" spans="32:34">
      <c r="AF3087" s="367">
        <f t="shared" si="48"/>
        <v>42887</v>
      </c>
      <c r="AG3087" s="368">
        <v>42897</v>
      </c>
      <c r="AH3087" s="370">
        <v>2919.58</v>
      </c>
    </row>
    <row r="3088" spans="32:34">
      <c r="AF3088" s="367">
        <f t="shared" si="48"/>
        <v>42887</v>
      </c>
      <c r="AG3088" s="368">
        <v>42898</v>
      </c>
      <c r="AH3088" s="370">
        <v>2919.58</v>
      </c>
    </row>
    <row r="3089" spans="32:34">
      <c r="AF3089" s="367">
        <f t="shared" si="48"/>
        <v>42887</v>
      </c>
      <c r="AG3089" s="368">
        <v>42899</v>
      </c>
      <c r="AH3089" s="370">
        <v>2929.2</v>
      </c>
    </row>
    <row r="3090" spans="32:34">
      <c r="AF3090" s="367">
        <f t="shared" si="48"/>
        <v>42887</v>
      </c>
      <c r="AG3090" s="368">
        <v>42900</v>
      </c>
      <c r="AH3090" s="370">
        <v>2933.13</v>
      </c>
    </row>
    <row r="3091" spans="32:34">
      <c r="AF3091" s="367">
        <f t="shared" si="48"/>
        <v>42887</v>
      </c>
      <c r="AG3091" s="368">
        <v>42901</v>
      </c>
      <c r="AH3091" s="370">
        <v>2924.75</v>
      </c>
    </row>
    <row r="3092" spans="32:34">
      <c r="AF3092" s="367">
        <f t="shared" si="48"/>
        <v>42887</v>
      </c>
      <c r="AG3092" s="368">
        <v>42902</v>
      </c>
      <c r="AH3092" s="370">
        <v>2953.83</v>
      </c>
    </row>
    <row r="3093" spans="32:34">
      <c r="AF3093" s="367">
        <f t="shared" si="48"/>
        <v>42887</v>
      </c>
      <c r="AG3093" s="368">
        <v>42903</v>
      </c>
      <c r="AH3093" s="370">
        <v>2961.68</v>
      </c>
    </row>
    <row r="3094" spans="32:34">
      <c r="AF3094" s="367">
        <f t="shared" si="48"/>
        <v>42887</v>
      </c>
      <c r="AG3094" s="368">
        <v>42904</v>
      </c>
      <c r="AH3094" s="370">
        <v>2961.68</v>
      </c>
    </row>
    <row r="3095" spans="32:34">
      <c r="AF3095" s="367">
        <f t="shared" si="48"/>
        <v>42887</v>
      </c>
      <c r="AG3095" s="368">
        <v>42905</v>
      </c>
      <c r="AH3095" s="370">
        <v>2961.68</v>
      </c>
    </row>
    <row r="3096" spans="32:34">
      <c r="AF3096" s="367">
        <f t="shared" si="48"/>
        <v>42887</v>
      </c>
      <c r="AG3096" s="368">
        <v>42906</v>
      </c>
      <c r="AH3096" s="370">
        <v>2961.68</v>
      </c>
    </row>
    <row r="3097" spans="32:34">
      <c r="AF3097" s="367">
        <f t="shared" si="48"/>
        <v>42887</v>
      </c>
      <c r="AG3097" s="368">
        <v>42907</v>
      </c>
      <c r="AH3097" s="370">
        <v>3029.53</v>
      </c>
    </row>
    <row r="3098" spans="32:34">
      <c r="AF3098" s="367">
        <f t="shared" si="48"/>
        <v>42887</v>
      </c>
      <c r="AG3098" s="368">
        <v>42908</v>
      </c>
      <c r="AH3098" s="370">
        <v>3053.9</v>
      </c>
    </row>
    <row r="3099" spans="32:34">
      <c r="AF3099" s="367">
        <f t="shared" si="48"/>
        <v>42887</v>
      </c>
      <c r="AG3099" s="368">
        <v>42909</v>
      </c>
      <c r="AH3099" s="370">
        <v>3035.83</v>
      </c>
    </row>
    <row r="3100" spans="32:34">
      <c r="AF3100" s="367">
        <f t="shared" si="48"/>
        <v>42887</v>
      </c>
      <c r="AG3100" s="368">
        <v>42910</v>
      </c>
      <c r="AH3100" s="370">
        <v>3010.68</v>
      </c>
    </row>
    <row r="3101" spans="32:34">
      <c r="AF3101" s="367">
        <f t="shared" si="48"/>
        <v>42887</v>
      </c>
      <c r="AG3101" s="368">
        <v>42911</v>
      </c>
      <c r="AH3101" s="370">
        <v>3010.68</v>
      </c>
    </row>
    <row r="3102" spans="32:34">
      <c r="AF3102" s="367">
        <f t="shared" si="48"/>
        <v>42887</v>
      </c>
      <c r="AG3102" s="368">
        <v>42912</v>
      </c>
      <c r="AH3102" s="370">
        <v>3010.68</v>
      </c>
    </row>
    <row r="3103" spans="32:34">
      <c r="AF3103" s="367">
        <f t="shared" si="48"/>
        <v>42887</v>
      </c>
      <c r="AG3103" s="368">
        <v>42913</v>
      </c>
      <c r="AH3103" s="370">
        <v>3010.68</v>
      </c>
    </row>
    <row r="3104" spans="32:34">
      <c r="AF3104" s="367">
        <f t="shared" si="48"/>
        <v>42887</v>
      </c>
      <c r="AG3104" s="368">
        <v>42914</v>
      </c>
      <c r="AH3104" s="370">
        <v>3025.28</v>
      </c>
    </row>
    <row r="3105" spans="32:34">
      <c r="AF3105" s="367">
        <f t="shared" si="48"/>
        <v>42887</v>
      </c>
      <c r="AG3105" s="368">
        <v>42915</v>
      </c>
      <c r="AH3105" s="370">
        <v>3023.64</v>
      </c>
    </row>
    <row r="3106" spans="32:34">
      <c r="AF3106" s="367">
        <f t="shared" si="48"/>
        <v>42887</v>
      </c>
      <c r="AG3106" s="368">
        <v>42916</v>
      </c>
      <c r="AH3106" s="370">
        <v>3038.26</v>
      </c>
    </row>
    <row r="3107" spans="32:34">
      <c r="AF3107" s="367">
        <f t="shared" si="48"/>
        <v>42917</v>
      </c>
      <c r="AG3107" s="368">
        <v>42917</v>
      </c>
      <c r="AH3107" s="370">
        <v>3050.43</v>
      </c>
    </row>
    <row r="3108" spans="32:34">
      <c r="AF3108" s="367">
        <f t="shared" si="48"/>
        <v>42917</v>
      </c>
      <c r="AG3108" s="368">
        <v>42918</v>
      </c>
      <c r="AH3108" s="370">
        <v>3050.43</v>
      </c>
    </row>
    <row r="3109" spans="32:34">
      <c r="AF3109" s="367">
        <f t="shared" si="48"/>
        <v>42917</v>
      </c>
      <c r="AG3109" s="368">
        <v>42919</v>
      </c>
      <c r="AH3109" s="370">
        <v>3050.43</v>
      </c>
    </row>
    <row r="3110" spans="32:34">
      <c r="AF3110" s="367">
        <f t="shared" si="48"/>
        <v>42917</v>
      </c>
      <c r="AG3110" s="368">
        <v>42920</v>
      </c>
      <c r="AH3110" s="370">
        <v>3050.43</v>
      </c>
    </row>
    <row r="3111" spans="32:34">
      <c r="AF3111" s="367">
        <f t="shared" si="48"/>
        <v>42917</v>
      </c>
      <c r="AG3111" s="368">
        <v>42921</v>
      </c>
      <c r="AH3111" s="370">
        <v>3050.43</v>
      </c>
    </row>
    <row r="3112" spans="32:34">
      <c r="AF3112" s="367">
        <f t="shared" si="48"/>
        <v>42917</v>
      </c>
      <c r="AG3112" s="368">
        <v>42922</v>
      </c>
      <c r="AH3112" s="370">
        <v>3068.93</v>
      </c>
    </row>
    <row r="3113" spans="32:34">
      <c r="AF3113" s="367">
        <f t="shared" si="48"/>
        <v>42917</v>
      </c>
      <c r="AG3113" s="368">
        <v>42923</v>
      </c>
      <c r="AH3113" s="370">
        <v>3084.19</v>
      </c>
    </row>
    <row r="3114" spans="32:34">
      <c r="AF3114" s="367">
        <f t="shared" si="48"/>
        <v>42917</v>
      </c>
      <c r="AG3114" s="368">
        <v>42924</v>
      </c>
      <c r="AH3114" s="370">
        <v>3092.65</v>
      </c>
    </row>
    <row r="3115" spans="32:34">
      <c r="AF3115" s="367">
        <f t="shared" si="48"/>
        <v>42917</v>
      </c>
      <c r="AG3115" s="368">
        <v>42925</v>
      </c>
      <c r="AH3115" s="370">
        <v>3092.65</v>
      </c>
    </row>
    <row r="3116" spans="32:34">
      <c r="AF3116" s="367">
        <f t="shared" si="48"/>
        <v>42917</v>
      </c>
      <c r="AG3116" s="368">
        <v>42926</v>
      </c>
      <c r="AH3116" s="370">
        <v>3092.65</v>
      </c>
    </row>
    <row r="3117" spans="32:34">
      <c r="AF3117" s="367">
        <f t="shared" si="48"/>
        <v>42917</v>
      </c>
      <c r="AG3117" s="368">
        <v>42927</v>
      </c>
      <c r="AH3117" s="370">
        <v>3067.33</v>
      </c>
    </row>
    <row r="3118" spans="32:34">
      <c r="AF3118" s="367">
        <f t="shared" si="48"/>
        <v>42917</v>
      </c>
      <c r="AG3118" s="368">
        <v>42928</v>
      </c>
      <c r="AH3118" s="370">
        <v>3067.73</v>
      </c>
    </row>
    <row r="3119" spans="32:34">
      <c r="AF3119" s="367">
        <f t="shared" si="48"/>
        <v>42917</v>
      </c>
      <c r="AG3119" s="368">
        <v>42929</v>
      </c>
      <c r="AH3119" s="370">
        <v>3052.3</v>
      </c>
    </row>
    <row r="3120" spans="32:34">
      <c r="AF3120" s="367">
        <f t="shared" si="48"/>
        <v>42917</v>
      </c>
      <c r="AG3120" s="368">
        <v>42930</v>
      </c>
      <c r="AH3120" s="370">
        <v>3043.6</v>
      </c>
    </row>
    <row r="3121" spans="32:34">
      <c r="AF3121" s="367">
        <f t="shared" si="48"/>
        <v>42917</v>
      </c>
      <c r="AG3121" s="368">
        <v>42931</v>
      </c>
      <c r="AH3121" s="370">
        <v>3019.56</v>
      </c>
    </row>
    <row r="3122" spans="32:34">
      <c r="AF3122" s="367">
        <f t="shared" si="48"/>
        <v>42917</v>
      </c>
      <c r="AG3122" s="368">
        <v>42932</v>
      </c>
      <c r="AH3122" s="370">
        <v>3019.56</v>
      </c>
    </row>
    <row r="3123" spans="32:34">
      <c r="AF3123" s="367">
        <f t="shared" si="48"/>
        <v>42917</v>
      </c>
      <c r="AG3123" s="368">
        <v>42933</v>
      </c>
      <c r="AH3123" s="370">
        <v>3019.56</v>
      </c>
    </row>
    <row r="3124" spans="32:34">
      <c r="AF3124" s="367">
        <f t="shared" si="48"/>
        <v>42917</v>
      </c>
      <c r="AG3124" s="368">
        <v>42934</v>
      </c>
      <c r="AH3124" s="370">
        <v>3030.6</v>
      </c>
    </row>
    <row r="3125" spans="32:34">
      <c r="AF3125" s="367">
        <f t="shared" si="48"/>
        <v>42917</v>
      </c>
      <c r="AG3125" s="368">
        <v>42935</v>
      </c>
      <c r="AH3125" s="370">
        <v>3013.26</v>
      </c>
    </row>
    <row r="3126" spans="32:34">
      <c r="AF3126" s="367">
        <f t="shared" si="48"/>
        <v>42917</v>
      </c>
      <c r="AG3126" s="368">
        <v>42936</v>
      </c>
      <c r="AH3126" s="370">
        <v>3010</v>
      </c>
    </row>
    <row r="3127" spans="32:34">
      <c r="AF3127" s="367">
        <f t="shared" si="48"/>
        <v>42917</v>
      </c>
      <c r="AG3127" s="368">
        <v>42937</v>
      </c>
      <c r="AH3127" s="370">
        <v>3010</v>
      </c>
    </row>
    <row r="3128" spans="32:34">
      <c r="AF3128" s="367">
        <f t="shared" si="48"/>
        <v>42917</v>
      </c>
      <c r="AG3128" s="368">
        <v>42938</v>
      </c>
      <c r="AH3128" s="370">
        <v>3010.77</v>
      </c>
    </row>
    <row r="3129" spans="32:34">
      <c r="AF3129" s="367">
        <f t="shared" si="48"/>
        <v>42917</v>
      </c>
      <c r="AG3129" s="368">
        <v>42939</v>
      </c>
      <c r="AH3129" s="370">
        <v>3010.77</v>
      </c>
    </row>
    <row r="3130" spans="32:34">
      <c r="AF3130" s="367">
        <f t="shared" si="48"/>
        <v>42917</v>
      </c>
      <c r="AG3130" s="368">
        <v>42940</v>
      </c>
      <c r="AH3130" s="370">
        <v>3010.77</v>
      </c>
    </row>
    <row r="3131" spans="32:34">
      <c r="AF3131" s="367">
        <f t="shared" si="48"/>
        <v>42917</v>
      </c>
      <c r="AG3131" s="368">
        <v>42941</v>
      </c>
      <c r="AH3131" s="370">
        <v>3023.67</v>
      </c>
    </row>
    <row r="3132" spans="32:34">
      <c r="AF3132" s="367">
        <f t="shared" si="48"/>
        <v>42917</v>
      </c>
      <c r="AG3132" s="368">
        <v>42942</v>
      </c>
      <c r="AH3132" s="370">
        <v>3026.55</v>
      </c>
    </row>
    <row r="3133" spans="32:34">
      <c r="AF3133" s="367">
        <f t="shared" si="48"/>
        <v>42917</v>
      </c>
      <c r="AG3133" s="368">
        <v>42943</v>
      </c>
      <c r="AH3133" s="370">
        <v>3026.22</v>
      </c>
    </row>
    <row r="3134" spans="32:34">
      <c r="AF3134" s="367">
        <f t="shared" si="48"/>
        <v>42917</v>
      </c>
      <c r="AG3134" s="368">
        <v>42944</v>
      </c>
      <c r="AH3134" s="370">
        <v>3002.94</v>
      </c>
    </row>
    <row r="3135" spans="32:34">
      <c r="AF3135" s="367">
        <f t="shared" si="48"/>
        <v>42917</v>
      </c>
      <c r="AG3135" s="368">
        <v>42945</v>
      </c>
      <c r="AH3135" s="370">
        <v>2995.23</v>
      </c>
    </row>
    <row r="3136" spans="32:34">
      <c r="AF3136" s="367">
        <f t="shared" si="48"/>
        <v>42917</v>
      </c>
      <c r="AG3136" s="368">
        <v>42946</v>
      </c>
      <c r="AH3136" s="370">
        <v>2995.23</v>
      </c>
    </row>
    <row r="3137" spans="32:34">
      <c r="AF3137" s="367">
        <f t="shared" si="48"/>
        <v>42917</v>
      </c>
      <c r="AG3137" s="368">
        <v>42947</v>
      </c>
      <c r="AH3137" s="370">
        <v>2995.23</v>
      </c>
    </row>
    <row r="3138" spans="32:34">
      <c r="AF3138" s="367">
        <f t="shared" si="48"/>
        <v>42948</v>
      </c>
      <c r="AG3138" s="368">
        <v>42948</v>
      </c>
      <c r="AH3138" s="370">
        <v>2997.59</v>
      </c>
    </row>
    <row r="3139" spans="32:34">
      <c r="AF3139" s="367">
        <f t="shared" si="48"/>
        <v>42948</v>
      </c>
      <c r="AG3139" s="368">
        <v>42949</v>
      </c>
      <c r="AH3139" s="370">
        <v>2973.03</v>
      </c>
    </row>
    <row r="3140" spans="32:34">
      <c r="AF3140" s="367">
        <f t="shared" ref="AF3140:AF3203" si="49">+DATE(YEAR(AG3140),MONTH(AG3140),1)</f>
        <v>42948</v>
      </c>
      <c r="AG3140" s="368">
        <v>42950</v>
      </c>
      <c r="AH3140" s="370">
        <v>2964.66</v>
      </c>
    </row>
    <row r="3141" spans="32:34">
      <c r="AF3141" s="367">
        <f t="shared" si="49"/>
        <v>42948</v>
      </c>
      <c r="AG3141" s="368">
        <v>42951</v>
      </c>
      <c r="AH3141" s="370">
        <v>2954.54</v>
      </c>
    </row>
    <row r="3142" spans="32:34">
      <c r="AF3142" s="367">
        <f t="shared" si="49"/>
        <v>42948</v>
      </c>
      <c r="AG3142" s="368">
        <v>42952</v>
      </c>
      <c r="AH3142" s="370">
        <v>2974.39</v>
      </c>
    </row>
    <row r="3143" spans="32:34">
      <c r="AF3143" s="367">
        <f t="shared" si="49"/>
        <v>42948</v>
      </c>
      <c r="AG3143" s="368">
        <v>42953</v>
      </c>
      <c r="AH3143" s="370">
        <v>2974.39</v>
      </c>
    </row>
    <row r="3144" spans="32:34">
      <c r="AF3144" s="367">
        <f t="shared" si="49"/>
        <v>42948</v>
      </c>
      <c r="AG3144" s="368">
        <v>42954</v>
      </c>
      <c r="AH3144" s="370">
        <v>2974.39</v>
      </c>
    </row>
    <row r="3145" spans="32:34">
      <c r="AF3145" s="367">
        <f t="shared" si="49"/>
        <v>42948</v>
      </c>
      <c r="AG3145" s="368">
        <v>42955</v>
      </c>
      <c r="AH3145" s="370">
        <v>2974.39</v>
      </c>
    </row>
    <row r="3146" spans="32:34">
      <c r="AF3146" s="367">
        <f t="shared" si="49"/>
        <v>42948</v>
      </c>
      <c r="AG3146" s="368">
        <v>42956</v>
      </c>
      <c r="AH3146" s="370">
        <v>2994.62</v>
      </c>
    </row>
    <row r="3147" spans="32:34">
      <c r="AF3147" s="367">
        <f t="shared" si="49"/>
        <v>42948</v>
      </c>
      <c r="AG3147" s="368">
        <v>42957</v>
      </c>
      <c r="AH3147" s="370">
        <v>3011.14</v>
      </c>
    </row>
    <row r="3148" spans="32:34">
      <c r="AF3148" s="367">
        <f t="shared" si="49"/>
        <v>42948</v>
      </c>
      <c r="AG3148" s="368">
        <v>42958</v>
      </c>
      <c r="AH3148" s="370">
        <v>2994.85</v>
      </c>
    </row>
    <row r="3149" spans="32:34">
      <c r="AF3149" s="367">
        <f t="shared" si="49"/>
        <v>42948</v>
      </c>
      <c r="AG3149" s="368">
        <v>42959</v>
      </c>
      <c r="AH3149" s="370">
        <v>2984.99</v>
      </c>
    </row>
    <row r="3150" spans="32:34">
      <c r="AF3150" s="367">
        <f t="shared" si="49"/>
        <v>42948</v>
      </c>
      <c r="AG3150" s="368">
        <v>42960</v>
      </c>
      <c r="AH3150" s="370">
        <v>2984.99</v>
      </c>
    </row>
    <row r="3151" spans="32:34">
      <c r="AF3151" s="367">
        <f t="shared" si="49"/>
        <v>42948</v>
      </c>
      <c r="AG3151" s="368">
        <v>42961</v>
      </c>
      <c r="AH3151" s="370">
        <v>2984.99</v>
      </c>
    </row>
    <row r="3152" spans="32:34">
      <c r="AF3152" s="367">
        <f t="shared" si="49"/>
        <v>42948</v>
      </c>
      <c r="AG3152" s="368">
        <v>42962</v>
      </c>
      <c r="AH3152" s="370">
        <v>2966.54</v>
      </c>
    </row>
    <row r="3153" spans="32:34">
      <c r="AF3153" s="367">
        <f t="shared" si="49"/>
        <v>42948</v>
      </c>
      <c r="AG3153" s="368">
        <v>42963</v>
      </c>
      <c r="AH3153" s="370">
        <v>2974.7</v>
      </c>
    </row>
    <row r="3154" spans="32:34">
      <c r="AF3154" s="367">
        <f t="shared" si="49"/>
        <v>42948</v>
      </c>
      <c r="AG3154" s="368">
        <v>42964</v>
      </c>
      <c r="AH3154" s="370">
        <v>2967.32</v>
      </c>
    </row>
    <row r="3155" spans="32:34">
      <c r="AF3155" s="367">
        <f t="shared" si="49"/>
        <v>42948</v>
      </c>
      <c r="AG3155" s="368">
        <v>42965</v>
      </c>
      <c r="AH3155" s="370">
        <v>2980.03</v>
      </c>
    </row>
    <row r="3156" spans="32:34">
      <c r="AF3156" s="367">
        <f t="shared" si="49"/>
        <v>42948</v>
      </c>
      <c r="AG3156" s="368">
        <v>42966</v>
      </c>
      <c r="AH3156" s="370">
        <v>2994.39</v>
      </c>
    </row>
    <row r="3157" spans="32:34">
      <c r="AF3157" s="367">
        <f t="shared" si="49"/>
        <v>42948</v>
      </c>
      <c r="AG3157" s="368">
        <v>42967</v>
      </c>
      <c r="AH3157" s="370">
        <v>2994.39</v>
      </c>
    </row>
    <row r="3158" spans="32:34">
      <c r="AF3158" s="367">
        <f t="shared" si="49"/>
        <v>42948</v>
      </c>
      <c r="AG3158" s="368">
        <v>42968</v>
      </c>
      <c r="AH3158" s="370">
        <v>2994.39</v>
      </c>
    </row>
    <row r="3159" spans="32:34">
      <c r="AF3159" s="367">
        <f t="shared" si="49"/>
        <v>42948</v>
      </c>
      <c r="AG3159" s="368">
        <v>42969</v>
      </c>
      <c r="AH3159" s="370">
        <v>2994.39</v>
      </c>
    </row>
    <row r="3160" spans="32:34">
      <c r="AF3160" s="367">
        <f t="shared" si="49"/>
        <v>42948</v>
      </c>
      <c r="AG3160" s="368">
        <v>42970</v>
      </c>
      <c r="AH3160" s="370">
        <v>2986.83</v>
      </c>
    </row>
    <row r="3161" spans="32:34">
      <c r="AF3161" s="367">
        <f t="shared" si="49"/>
        <v>42948</v>
      </c>
      <c r="AG3161" s="368">
        <v>42971</v>
      </c>
      <c r="AH3161" s="370">
        <v>2986.88</v>
      </c>
    </row>
    <row r="3162" spans="32:34">
      <c r="AF3162" s="367">
        <f t="shared" si="49"/>
        <v>42948</v>
      </c>
      <c r="AG3162" s="368">
        <v>42972</v>
      </c>
      <c r="AH3162" s="370">
        <v>2972.98</v>
      </c>
    </row>
    <row r="3163" spans="32:34">
      <c r="AF3163" s="367">
        <f t="shared" si="49"/>
        <v>42948</v>
      </c>
      <c r="AG3163" s="368">
        <v>42973</v>
      </c>
      <c r="AH3163" s="370">
        <v>2933.96</v>
      </c>
    </row>
    <row r="3164" spans="32:34">
      <c r="AF3164" s="367">
        <f t="shared" si="49"/>
        <v>42948</v>
      </c>
      <c r="AG3164" s="368">
        <v>42974</v>
      </c>
      <c r="AH3164" s="370">
        <v>2933.96</v>
      </c>
    </row>
    <row r="3165" spans="32:34">
      <c r="AF3165" s="367">
        <f t="shared" si="49"/>
        <v>42948</v>
      </c>
      <c r="AG3165" s="368">
        <v>42975</v>
      </c>
      <c r="AH3165" s="370">
        <v>2933.96</v>
      </c>
    </row>
    <row r="3166" spans="32:34">
      <c r="AF3166" s="367">
        <f t="shared" si="49"/>
        <v>42948</v>
      </c>
      <c r="AG3166" s="368">
        <v>42976</v>
      </c>
      <c r="AH3166" s="370">
        <v>2934.23</v>
      </c>
    </row>
    <row r="3167" spans="32:34">
      <c r="AF3167" s="367">
        <f t="shared" si="49"/>
        <v>42948</v>
      </c>
      <c r="AG3167" s="368">
        <v>42977</v>
      </c>
      <c r="AH3167" s="370">
        <v>2940.35</v>
      </c>
    </row>
    <row r="3168" spans="32:34">
      <c r="AF3168" s="367">
        <f t="shared" si="49"/>
        <v>42948</v>
      </c>
      <c r="AG3168" s="368">
        <v>42978</v>
      </c>
      <c r="AH3168" s="370">
        <v>2937.09</v>
      </c>
    </row>
    <row r="3169" spans="32:34">
      <c r="AF3169" s="367">
        <f t="shared" si="49"/>
        <v>42979</v>
      </c>
      <c r="AG3169" s="368">
        <v>42979</v>
      </c>
      <c r="AH3169" s="370">
        <v>2948.09</v>
      </c>
    </row>
    <row r="3170" spans="32:34">
      <c r="AF3170" s="367">
        <f t="shared" si="49"/>
        <v>42979</v>
      </c>
      <c r="AG3170" s="368">
        <v>42980</v>
      </c>
      <c r="AH3170" s="370">
        <v>2936.07</v>
      </c>
    </row>
    <row r="3171" spans="32:34">
      <c r="AF3171" s="367">
        <f t="shared" si="49"/>
        <v>42979</v>
      </c>
      <c r="AG3171" s="368">
        <v>42981</v>
      </c>
      <c r="AH3171" s="370">
        <v>2936.07</v>
      </c>
    </row>
    <row r="3172" spans="32:34">
      <c r="AF3172" s="367">
        <f t="shared" si="49"/>
        <v>42979</v>
      </c>
      <c r="AG3172" s="368">
        <v>42982</v>
      </c>
      <c r="AH3172" s="370">
        <v>2936.07</v>
      </c>
    </row>
    <row r="3173" spans="32:34">
      <c r="AF3173" s="367">
        <f t="shared" si="49"/>
        <v>42979</v>
      </c>
      <c r="AG3173" s="368">
        <v>42983</v>
      </c>
      <c r="AH3173" s="370">
        <v>2936.07</v>
      </c>
    </row>
    <row r="3174" spans="32:34">
      <c r="AF3174" s="367">
        <f t="shared" si="49"/>
        <v>42979</v>
      </c>
      <c r="AG3174" s="368">
        <v>42984</v>
      </c>
      <c r="AH3174" s="370">
        <v>2923.49</v>
      </c>
    </row>
    <row r="3175" spans="32:34">
      <c r="AF3175" s="367">
        <f t="shared" si="49"/>
        <v>42979</v>
      </c>
      <c r="AG3175" s="368">
        <v>42985</v>
      </c>
      <c r="AH3175" s="370">
        <v>2919.5</v>
      </c>
    </row>
    <row r="3176" spans="32:34">
      <c r="AF3176" s="367">
        <f t="shared" si="49"/>
        <v>42979</v>
      </c>
      <c r="AG3176" s="368">
        <v>42986</v>
      </c>
      <c r="AH3176" s="370">
        <v>2907.96</v>
      </c>
    </row>
    <row r="3177" spans="32:34">
      <c r="AF3177" s="367">
        <f t="shared" si="49"/>
        <v>42979</v>
      </c>
      <c r="AG3177" s="368">
        <v>42987</v>
      </c>
      <c r="AH3177" s="370">
        <v>2909.15</v>
      </c>
    </row>
    <row r="3178" spans="32:34">
      <c r="AF3178" s="367">
        <f t="shared" si="49"/>
        <v>42979</v>
      </c>
      <c r="AG3178" s="368">
        <v>42988</v>
      </c>
      <c r="AH3178" s="370">
        <v>2909.15</v>
      </c>
    </row>
    <row r="3179" spans="32:34">
      <c r="AF3179" s="367">
        <f t="shared" si="49"/>
        <v>42979</v>
      </c>
      <c r="AG3179" s="368">
        <v>42989</v>
      </c>
      <c r="AH3179" s="370">
        <v>2909.15</v>
      </c>
    </row>
    <row r="3180" spans="32:34">
      <c r="AF3180" s="367">
        <f t="shared" si="49"/>
        <v>42979</v>
      </c>
      <c r="AG3180" s="368">
        <v>42990</v>
      </c>
      <c r="AH3180" s="370">
        <v>2916.1</v>
      </c>
    </row>
    <row r="3181" spans="32:34">
      <c r="AF3181" s="367">
        <f t="shared" si="49"/>
        <v>42979</v>
      </c>
      <c r="AG3181" s="368">
        <v>42991</v>
      </c>
      <c r="AH3181" s="370">
        <v>2923.03</v>
      </c>
    </row>
    <row r="3182" spans="32:34">
      <c r="AF3182" s="367">
        <f t="shared" si="49"/>
        <v>42979</v>
      </c>
      <c r="AG3182" s="368">
        <v>42992</v>
      </c>
      <c r="AH3182" s="370">
        <v>2909.52</v>
      </c>
    </row>
    <row r="3183" spans="32:34">
      <c r="AF3183" s="367">
        <f t="shared" si="49"/>
        <v>42979</v>
      </c>
      <c r="AG3183" s="368">
        <v>42993</v>
      </c>
      <c r="AH3183" s="370">
        <v>2905.98</v>
      </c>
    </row>
    <row r="3184" spans="32:34">
      <c r="AF3184" s="367">
        <f t="shared" si="49"/>
        <v>42979</v>
      </c>
      <c r="AG3184" s="368">
        <v>42994</v>
      </c>
      <c r="AH3184" s="370">
        <v>2897.83</v>
      </c>
    </row>
    <row r="3185" spans="32:34">
      <c r="AF3185" s="367">
        <f t="shared" si="49"/>
        <v>42979</v>
      </c>
      <c r="AG3185" s="368">
        <v>42995</v>
      </c>
      <c r="AH3185" s="370">
        <v>2897.83</v>
      </c>
    </row>
    <row r="3186" spans="32:34">
      <c r="AF3186" s="367">
        <f t="shared" si="49"/>
        <v>42979</v>
      </c>
      <c r="AG3186" s="368">
        <v>42996</v>
      </c>
      <c r="AH3186" s="370">
        <v>2897.83</v>
      </c>
    </row>
    <row r="3187" spans="32:34">
      <c r="AF3187" s="367">
        <f t="shared" si="49"/>
        <v>42979</v>
      </c>
      <c r="AG3187" s="368">
        <v>42997</v>
      </c>
      <c r="AH3187" s="370">
        <v>2906.06</v>
      </c>
    </row>
    <row r="3188" spans="32:34">
      <c r="AF3188" s="367">
        <f t="shared" si="49"/>
        <v>42979</v>
      </c>
      <c r="AG3188" s="368">
        <v>42998</v>
      </c>
      <c r="AH3188" s="370">
        <v>2904.6</v>
      </c>
    </row>
    <row r="3189" spans="32:34">
      <c r="AF3189" s="367">
        <f t="shared" si="49"/>
        <v>42979</v>
      </c>
      <c r="AG3189" s="368">
        <v>42999</v>
      </c>
      <c r="AH3189" s="370">
        <v>2893.18</v>
      </c>
    </row>
    <row r="3190" spans="32:34">
      <c r="AF3190" s="367">
        <f t="shared" si="49"/>
        <v>42979</v>
      </c>
      <c r="AG3190" s="368">
        <v>43000</v>
      </c>
      <c r="AH3190" s="370">
        <v>2913.96</v>
      </c>
    </row>
    <row r="3191" spans="32:34">
      <c r="AF3191" s="367">
        <f t="shared" si="49"/>
        <v>42979</v>
      </c>
      <c r="AG3191" s="368">
        <v>43001</v>
      </c>
      <c r="AH3191" s="370">
        <v>2900.73</v>
      </c>
    </row>
    <row r="3192" spans="32:34">
      <c r="AF3192" s="367">
        <f t="shared" si="49"/>
        <v>42979</v>
      </c>
      <c r="AG3192" s="368">
        <v>43002</v>
      </c>
      <c r="AH3192" s="370">
        <v>2900.73</v>
      </c>
    </row>
    <row r="3193" spans="32:34">
      <c r="AF3193" s="367">
        <f t="shared" si="49"/>
        <v>42979</v>
      </c>
      <c r="AG3193" s="368">
        <v>43003</v>
      </c>
      <c r="AH3193" s="370">
        <v>2900.73</v>
      </c>
    </row>
    <row r="3194" spans="32:34">
      <c r="AF3194" s="367">
        <f t="shared" si="49"/>
        <v>42979</v>
      </c>
      <c r="AG3194" s="368">
        <v>43004</v>
      </c>
      <c r="AH3194" s="370">
        <v>2924.57</v>
      </c>
    </row>
    <row r="3195" spans="32:34">
      <c r="AF3195" s="367">
        <f t="shared" si="49"/>
        <v>42979</v>
      </c>
      <c r="AG3195" s="368">
        <v>43005</v>
      </c>
      <c r="AH3195" s="370">
        <v>2930.7</v>
      </c>
    </row>
    <row r="3196" spans="32:34">
      <c r="AF3196" s="367">
        <f t="shared" si="49"/>
        <v>42979</v>
      </c>
      <c r="AG3196" s="368">
        <v>43006</v>
      </c>
      <c r="AH3196" s="370">
        <v>2940.66</v>
      </c>
    </row>
    <row r="3197" spans="32:34">
      <c r="AF3197" s="367">
        <f t="shared" si="49"/>
        <v>42979</v>
      </c>
      <c r="AG3197" s="368">
        <v>43007</v>
      </c>
      <c r="AH3197" s="370">
        <v>2941.07</v>
      </c>
    </row>
    <row r="3198" spans="32:34">
      <c r="AF3198" s="367">
        <f t="shared" si="49"/>
        <v>42979</v>
      </c>
      <c r="AG3198" s="368">
        <v>43008</v>
      </c>
      <c r="AH3198" s="370">
        <v>2936.67</v>
      </c>
    </row>
    <row r="3199" spans="32:34">
      <c r="AF3199" s="367">
        <f t="shared" si="49"/>
        <v>43009</v>
      </c>
      <c r="AG3199" s="368">
        <v>43009</v>
      </c>
      <c r="AH3199" s="370">
        <v>2936.67</v>
      </c>
    </row>
    <row r="3200" spans="32:34">
      <c r="AF3200" s="367">
        <f t="shared" si="49"/>
        <v>43009</v>
      </c>
      <c r="AG3200" s="368">
        <v>43010</v>
      </c>
      <c r="AH3200" s="370">
        <v>2936.67</v>
      </c>
    </row>
    <row r="3201" spans="32:34">
      <c r="AF3201" s="367">
        <f t="shared" si="49"/>
        <v>43009</v>
      </c>
      <c r="AG3201" s="368">
        <v>43011</v>
      </c>
      <c r="AH3201" s="370">
        <v>2949.33</v>
      </c>
    </row>
    <row r="3202" spans="32:34">
      <c r="AF3202" s="367">
        <f t="shared" si="49"/>
        <v>43009</v>
      </c>
      <c r="AG3202" s="368">
        <v>43012</v>
      </c>
      <c r="AH3202" s="370">
        <v>2953.81</v>
      </c>
    </row>
    <row r="3203" spans="32:34">
      <c r="AF3203" s="367">
        <f t="shared" si="49"/>
        <v>43009</v>
      </c>
      <c r="AG3203" s="368">
        <v>43013</v>
      </c>
      <c r="AH3203" s="370">
        <v>2945.59</v>
      </c>
    </row>
    <row r="3204" spans="32:34">
      <c r="AF3204" s="367">
        <f t="shared" ref="AF3204:AF3267" si="50">+DATE(YEAR(AG3204),MONTH(AG3204),1)</f>
        <v>43009</v>
      </c>
      <c r="AG3204" s="368">
        <v>43014</v>
      </c>
      <c r="AH3204" s="370">
        <v>2926.82</v>
      </c>
    </row>
    <row r="3205" spans="32:34">
      <c r="AF3205" s="367">
        <f t="shared" si="50"/>
        <v>43009</v>
      </c>
      <c r="AG3205" s="368">
        <v>43015</v>
      </c>
      <c r="AH3205" s="370">
        <v>2942.19</v>
      </c>
    </row>
    <row r="3206" spans="32:34">
      <c r="AF3206" s="367">
        <f t="shared" si="50"/>
        <v>43009</v>
      </c>
      <c r="AG3206" s="368">
        <v>43016</v>
      </c>
      <c r="AH3206" s="370">
        <v>2942.19</v>
      </c>
    </row>
    <row r="3207" spans="32:34">
      <c r="AF3207" s="367">
        <f t="shared" si="50"/>
        <v>43009</v>
      </c>
      <c r="AG3207" s="368">
        <v>43017</v>
      </c>
      <c r="AH3207" s="370">
        <v>2942.19</v>
      </c>
    </row>
    <row r="3208" spans="32:34">
      <c r="AF3208" s="367">
        <f t="shared" si="50"/>
        <v>43009</v>
      </c>
      <c r="AG3208" s="368">
        <v>43018</v>
      </c>
      <c r="AH3208" s="370">
        <v>2942.19</v>
      </c>
    </row>
    <row r="3209" spans="32:34">
      <c r="AF3209" s="367">
        <f t="shared" si="50"/>
        <v>43009</v>
      </c>
      <c r="AG3209" s="368">
        <v>43019</v>
      </c>
      <c r="AH3209" s="370">
        <v>2947.06</v>
      </c>
    </row>
    <row r="3210" spans="32:34">
      <c r="AF3210" s="367">
        <f t="shared" si="50"/>
        <v>43009</v>
      </c>
      <c r="AG3210" s="368">
        <v>43020</v>
      </c>
      <c r="AH3210" s="370">
        <v>2953.77</v>
      </c>
    </row>
    <row r="3211" spans="32:34">
      <c r="AF3211" s="367">
        <f t="shared" si="50"/>
        <v>43009</v>
      </c>
      <c r="AG3211" s="368">
        <v>43021</v>
      </c>
      <c r="AH3211" s="370">
        <v>2949.69</v>
      </c>
    </row>
    <row r="3212" spans="32:34">
      <c r="AF3212" s="367">
        <f t="shared" si="50"/>
        <v>43009</v>
      </c>
      <c r="AG3212" s="368">
        <v>43022</v>
      </c>
      <c r="AH3212" s="370">
        <v>2932.05</v>
      </c>
    </row>
    <row r="3213" spans="32:34">
      <c r="AF3213" s="367">
        <f t="shared" si="50"/>
        <v>43009</v>
      </c>
      <c r="AG3213" s="368">
        <v>43023</v>
      </c>
      <c r="AH3213" s="370">
        <v>2932.05</v>
      </c>
    </row>
    <row r="3214" spans="32:34">
      <c r="AF3214" s="367">
        <f t="shared" si="50"/>
        <v>43009</v>
      </c>
      <c r="AG3214" s="368">
        <v>43024</v>
      </c>
      <c r="AH3214" s="370">
        <v>2932.05</v>
      </c>
    </row>
    <row r="3215" spans="32:34">
      <c r="AF3215" s="367">
        <f t="shared" si="50"/>
        <v>43009</v>
      </c>
      <c r="AG3215" s="368">
        <v>43025</v>
      </c>
      <c r="AH3215" s="370">
        <v>2932.05</v>
      </c>
    </row>
    <row r="3216" spans="32:34">
      <c r="AF3216" s="367">
        <f t="shared" si="50"/>
        <v>43009</v>
      </c>
      <c r="AG3216" s="368">
        <v>43026</v>
      </c>
      <c r="AH3216" s="370">
        <v>2944.27</v>
      </c>
    </row>
    <row r="3217" spans="32:34">
      <c r="AF3217" s="367">
        <f t="shared" si="50"/>
        <v>43009</v>
      </c>
      <c r="AG3217" s="368">
        <v>43027</v>
      </c>
      <c r="AH3217" s="370">
        <v>2935.66</v>
      </c>
    </row>
    <row r="3218" spans="32:34">
      <c r="AF3218" s="367">
        <f t="shared" si="50"/>
        <v>43009</v>
      </c>
      <c r="AG3218" s="368">
        <v>43028</v>
      </c>
      <c r="AH3218" s="370">
        <v>2921.92</v>
      </c>
    </row>
    <row r="3219" spans="32:34">
      <c r="AF3219" s="367">
        <f t="shared" si="50"/>
        <v>43009</v>
      </c>
      <c r="AG3219" s="368">
        <v>43029</v>
      </c>
      <c r="AH3219" s="370">
        <v>2936.66</v>
      </c>
    </row>
    <row r="3220" spans="32:34">
      <c r="AF3220" s="367">
        <f t="shared" si="50"/>
        <v>43009</v>
      </c>
      <c r="AG3220" s="368">
        <v>43030</v>
      </c>
      <c r="AH3220" s="370">
        <v>2936.66</v>
      </c>
    </row>
    <row r="3221" spans="32:34">
      <c r="AF3221" s="367">
        <f t="shared" si="50"/>
        <v>43009</v>
      </c>
      <c r="AG3221" s="368">
        <v>43031</v>
      </c>
      <c r="AH3221" s="370">
        <v>2936.66</v>
      </c>
    </row>
    <row r="3222" spans="32:34">
      <c r="AF3222" s="367">
        <f t="shared" si="50"/>
        <v>43009</v>
      </c>
      <c r="AG3222" s="368">
        <v>43032</v>
      </c>
      <c r="AH3222" s="370">
        <v>2947.69</v>
      </c>
    </row>
    <row r="3223" spans="32:34">
      <c r="AF3223" s="367">
        <f t="shared" si="50"/>
        <v>43009</v>
      </c>
      <c r="AG3223" s="368">
        <v>43033</v>
      </c>
      <c r="AH3223" s="370">
        <v>2971.36</v>
      </c>
    </row>
    <row r="3224" spans="32:34">
      <c r="AF3224" s="367">
        <f t="shared" si="50"/>
        <v>43009</v>
      </c>
      <c r="AG3224" s="368">
        <v>43034</v>
      </c>
      <c r="AH3224" s="370">
        <v>2989.39</v>
      </c>
    </row>
    <row r="3225" spans="32:34">
      <c r="AF3225" s="367">
        <f t="shared" si="50"/>
        <v>43009</v>
      </c>
      <c r="AG3225" s="368">
        <v>43035</v>
      </c>
      <c r="AH3225" s="370">
        <v>3008.8</v>
      </c>
    </row>
    <row r="3226" spans="32:34">
      <c r="AF3226" s="367">
        <f t="shared" si="50"/>
        <v>43009</v>
      </c>
      <c r="AG3226" s="368">
        <v>43036</v>
      </c>
      <c r="AH3226" s="370">
        <v>3009.85</v>
      </c>
    </row>
    <row r="3227" spans="32:34">
      <c r="AF3227" s="367">
        <f t="shared" si="50"/>
        <v>43009</v>
      </c>
      <c r="AG3227" s="368">
        <v>43037</v>
      </c>
      <c r="AH3227" s="370">
        <v>3009.85</v>
      </c>
    </row>
    <row r="3228" spans="32:34">
      <c r="AF3228" s="367">
        <f t="shared" si="50"/>
        <v>43009</v>
      </c>
      <c r="AG3228" s="368">
        <v>43038</v>
      </c>
      <c r="AH3228" s="370">
        <v>3009.85</v>
      </c>
    </row>
    <row r="3229" spans="32:34">
      <c r="AF3229" s="367">
        <f t="shared" si="50"/>
        <v>43009</v>
      </c>
      <c r="AG3229" s="368">
        <v>43039</v>
      </c>
      <c r="AH3229" s="370">
        <v>3011.44</v>
      </c>
    </row>
    <row r="3230" spans="32:34">
      <c r="AF3230" s="367">
        <f t="shared" si="50"/>
        <v>43040</v>
      </c>
      <c r="AG3230" s="368">
        <v>43040</v>
      </c>
      <c r="AH3230" s="370">
        <v>3039.19</v>
      </c>
    </row>
    <row r="3231" spans="32:34">
      <c r="AF3231" s="367">
        <f t="shared" si="50"/>
        <v>43040</v>
      </c>
      <c r="AG3231" s="368">
        <v>43041</v>
      </c>
      <c r="AH3231" s="370">
        <v>3038.56</v>
      </c>
    </row>
    <row r="3232" spans="32:34">
      <c r="AF3232" s="367">
        <f t="shared" si="50"/>
        <v>43040</v>
      </c>
      <c r="AG3232" s="368">
        <v>43042</v>
      </c>
      <c r="AH3232" s="370">
        <v>3054.38</v>
      </c>
    </row>
    <row r="3233" spans="32:34">
      <c r="AF3233" s="367">
        <f t="shared" si="50"/>
        <v>43040</v>
      </c>
      <c r="AG3233" s="368">
        <v>43043</v>
      </c>
      <c r="AH3233" s="370">
        <v>3055.57</v>
      </c>
    </row>
    <row r="3234" spans="32:34">
      <c r="AF3234" s="367">
        <f t="shared" si="50"/>
        <v>43040</v>
      </c>
      <c r="AG3234" s="368">
        <v>43044</v>
      </c>
      <c r="AH3234" s="370">
        <v>3055.57</v>
      </c>
    </row>
    <row r="3235" spans="32:34">
      <c r="AF3235" s="367">
        <f t="shared" si="50"/>
        <v>43040</v>
      </c>
      <c r="AG3235" s="368">
        <v>43045</v>
      </c>
      <c r="AH3235" s="370">
        <v>3055.57</v>
      </c>
    </row>
    <row r="3236" spans="32:34">
      <c r="AF3236" s="367">
        <f t="shared" si="50"/>
        <v>43040</v>
      </c>
      <c r="AG3236" s="368">
        <v>43046</v>
      </c>
      <c r="AH3236" s="370">
        <v>3055.57</v>
      </c>
    </row>
    <row r="3237" spans="32:34">
      <c r="AF3237" s="367">
        <f t="shared" si="50"/>
        <v>43040</v>
      </c>
      <c r="AG3237" s="368">
        <v>43047</v>
      </c>
      <c r="AH3237" s="370">
        <v>3026.94</v>
      </c>
    </row>
    <row r="3238" spans="32:34">
      <c r="AF3238" s="367">
        <f t="shared" si="50"/>
        <v>43040</v>
      </c>
      <c r="AG3238" s="368">
        <v>43048</v>
      </c>
      <c r="AH3238" s="370">
        <v>3017.78</v>
      </c>
    </row>
    <row r="3239" spans="32:34">
      <c r="AF3239" s="367">
        <f t="shared" si="50"/>
        <v>43040</v>
      </c>
      <c r="AG3239" s="368">
        <v>43049</v>
      </c>
      <c r="AH3239" s="370">
        <v>3015.52</v>
      </c>
    </row>
    <row r="3240" spans="32:34">
      <c r="AF3240" s="367">
        <f t="shared" si="50"/>
        <v>43040</v>
      </c>
      <c r="AG3240" s="368">
        <v>43050</v>
      </c>
      <c r="AH3240" s="370">
        <v>3004.88</v>
      </c>
    </row>
    <row r="3241" spans="32:34">
      <c r="AF3241" s="367">
        <f t="shared" si="50"/>
        <v>43040</v>
      </c>
      <c r="AG3241" s="368">
        <v>43051</v>
      </c>
      <c r="AH3241" s="370">
        <v>3004.88</v>
      </c>
    </row>
    <row r="3242" spans="32:34">
      <c r="AF3242" s="367">
        <f t="shared" si="50"/>
        <v>43040</v>
      </c>
      <c r="AG3242" s="368">
        <v>43052</v>
      </c>
      <c r="AH3242" s="370">
        <v>3004.88</v>
      </c>
    </row>
    <row r="3243" spans="32:34">
      <c r="AF3243" s="367">
        <f t="shared" si="50"/>
        <v>43040</v>
      </c>
      <c r="AG3243" s="368">
        <v>43053</v>
      </c>
      <c r="AH3243" s="370">
        <v>3004.88</v>
      </c>
    </row>
    <row r="3244" spans="32:34">
      <c r="AF3244" s="367">
        <f t="shared" si="50"/>
        <v>43040</v>
      </c>
      <c r="AG3244" s="368">
        <v>43054</v>
      </c>
      <c r="AH3244" s="370">
        <v>3016.7</v>
      </c>
    </row>
    <row r="3245" spans="32:34">
      <c r="AF3245" s="367">
        <f t="shared" si="50"/>
        <v>43040</v>
      </c>
      <c r="AG3245" s="368">
        <v>43055</v>
      </c>
      <c r="AH3245" s="370">
        <v>3023.88</v>
      </c>
    </row>
    <row r="3246" spans="32:34">
      <c r="AF3246" s="367">
        <f t="shared" si="50"/>
        <v>43040</v>
      </c>
      <c r="AG3246" s="368">
        <v>43056</v>
      </c>
      <c r="AH3246" s="370">
        <v>3015.79</v>
      </c>
    </row>
    <row r="3247" spans="32:34">
      <c r="AF3247" s="367">
        <f t="shared" si="50"/>
        <v>43040</v>
      </c>
      <c r="AG3247" s="368">
        <v>43057</v>
      </c>
      <c r="AH3247" s="370">
        <v>3003.19</v>
      </c>
    </row>
    <row r="3248" spans="32:34">
      <c r="AF3248" s="367">
        <f t="shared" si="50"/>
        <v>43040</v>
      </c>
      <c r="AG3248" s="368">
        <v>43058</v>
      </c>
      <c r="AH3248" s="370">
        <v>3003.19</v>
      </c>
    </row>
    <row r="3249" spans="32:34">
      <c r="AF3249" s="367">
        <f t="shared" si="50"/>
        <v>43040</v>
      </c>
      <c r="AG3249" s="368">
        <v>43059</v>
      </c>
      <c r="AH3249" s="370">
        <v>3003.19</v>
      </c>
    </row>
    <row r="3250" spans="32:34">
      <c r="AF3250" s="367">
        <f t="shared" si="50"/>
        <v>43040</v>
      </c>
      <c r="AG3250" s="368">
        <v>43060</v>
      </c>
      <c r="AH3250" s="370">
        <v>3011.32</v>
      </c>
    </row>
    <row r="3251" spans="32:34">
      <c r="AF3251" s="367">
        <f t="shared" si="50"/>
        <v>43040</v>
      </c>
      <c r="AG3251" s="368">
        <v>43061</v>
      </c>
      <c r="AH3251" s="370">
        <v>3001.07</v>
      </c>
    </row>
    <row r="3252" spans="32:34">
      <c r="AF3252" s="367">
        <f t="shared" si="50"/>
        <v>43040</v>
      </c>
      <c r="AG3252" s="368">
        <v>43062</v>
      </c>
      <c r="AH3252" s="370">
        <v>2982.73</v>
      </c>
    </row>
    <row r="3253" spans="32:34">
      <c r="AF3253" s="367">
        <f t="shared" si="50"/>
        <v>43040</v>
      </c>
      <c r="AG3253" s="368">
        <v>43063</v>
      </c>
      <c r="AH3253" s="370">
        <v>2982.73</v>
      </c>
    </row>
    <row r="3254" spans="32:34">
      <c r="AF3254" s="367">
        <f t="shared" si="50"/>
        <v>43040</v>
      </c>
      <c r="AG3254" s="368">
        <v>43064</v>
      </c>
      <c r="AH3254" s="370">
        <v>2976.39</v>
      </c>
    </row>
    <row r="3255" spans="32:34">
      <c r="AF3255" s="367">
        <f t="shared" si="50"/>
        <v>43040</v>
      </c>
      <c r="AG3255" s="368">
        <v>43065</v>
      </c>
      <c r="AH3255" s="370">
        <v>2976.39</v>
      </c>
    </row>
    <row r="3256" spans="32:34">
      <c r="AF3256" s="367">
        <f t="shared" si="50"/>
        <v>43040</v>
      </c>
      <c r="AG3256" s="368">
        <v>43066</v>
      </c>
      <c r="AH3256" s="370">
        <v>2976.39</v>
      </c>
    </row>
    <row r="3257" spans="32:34">
      <c r="AF3257" s="367">
        <f t="shared" si="50"/>
        <v>43040</v>
      </c>
      <c r="AG3257" s="368">
        <v>43067</v>
      </c>
      <c r="AH3257" s="370">
        <v>2986.84</v>
      </c>
    </row>
    <row r="3258" spans="32:34">
      <c r="AF3258" s="367">
        <f t="shared" si="50"/>
        <v>43040</v>
      </c>
      <c r="AG3258" s="368">
        <v>43068</v>
      </c>
      <c r="AH3258" s="370">
        <v>3003.94</v>
      </c>
    </row>
    <row r="3259" spans="32:34">
      <c r="AF3259" s="367">
        <f t="shared" si="50"/>
        <v>43040</v>
      </c>
      <c r="AG3259" s="368">
        <v>43069</v>
      </c>
      <c r="AH3259" s="370">
        <v>3006.09</v>
      </c>
    </row>
    <row r="3260" spans="32:34">
      <c r="AF3260" s="367">
        <f t="shared" si="50"/>
        <v>43070</v>
      </c>
      <c r="AG3260" s="368">
        <v>43070</v>
      </c>
      <c r="AH3260" s="370">
        <v>3006.04</v>
      </c>
    </row>
    <row r="3261" spans="32:34">
      <c r="AF3261" s="367">
        <f t="shared" si="50"/>
        <v>43070</v>
      </c>
      <c r="AG3261" s="368">
        <v>43071</v>
      </c>
      <c r="AH3261" s="370">
        <v>3005.76</v>
      </c>
    </row>
    <row r="3262" spans="32:34">
      <c r="AF3262" s="367">
        <f t="shared" si="50"/>
        <v>43070</v>
      </c>
      <c r="AG3262" s="368">
        <v>43072</v>
      </c>
      <c r="AH3262" s="370">
        <v>3005.76</v>
      </c>
    </row>
    <row r="3263" spans="32:34">
      <c r="AF3263" s="367">
        <f t="shared" si="50"/>
        <v>43070</v>
      </c>
      <c r="AG3263" s="368">
        <v>43073</v>
      </c>
      <c r="AH3263" s="370">
        <v>3005.76</v>
      </c>
    </row>
    <row r="3264" spans="32:34">
      <c r="AF3264" s="367">
        <f t="shared" si="50"/>
        <v>43070</v>
      </c>
      <c r="AG3264" s="368">
        <v>43074</v>
      </c>
      <c r="AH3264" s="370">
        <v>2993.49</v>
      </c>
    </row>
    <row r="3265" spans="32:34">
      <c r="AF3265" s="367">
        <f t="shared" si="50"/>
        <v>43070</v>
      </c>
      <c r="AG3265" s="368">
        <v>43075</v>
      </c>
      <c r="AH3265" s="370">
        <v>2996.53</v>
      </c>
    </row>
    <row r="3266" spans="32:34">
      <c r="AF3266" s="367">
        <f t="shared" si="50"/>
        <v>43070</v>
      </c>
      <c r="AG3266" s="368">
        <v>43076</v>
      </c>
      <c r="AH3266" s="370">
        <v>3007.07</v>
      </c>
    </row>
    <row r="3267" spans="32:34">
      <c r="AF3267" s="367">
        <f t="shared" si="50"/>
        <v>43070</v>
      </c>
      <c r="AG3267" s="368">
        <v>43077</v>
      </c>
      <c r="AH3267" s="370">
        <v>3016.18</v>
      </c>
    </row>
    <row r="3268" spans="32:34">
      <c r="AF3268" s="367">
        <f t="shared" ref="AF3268:AF3331" si="51">+DATE(YEAR(AG3268),MONTH(AG3268),1)</f>
        <v>43070</v>
      </c>
      <c r="AG3268" s="368">
        <v>43078</v>
      </c>
      <c r="AH3268" s="370">
        <v>3016.18</v>
      </c>
    </row>
    <row r="3269" spans="32:34">
      <c r="AF3269" s="367">
        <f t="shared" si="51"/>
        <v>43070</v>
      </c>
      <c r="AG3269" s="368">
        <v>43079</v>
      </c>
      <c r="AH3269" s="370">
        <v>3016.18</v>
      </c>
    </row>
    <row r="3270" spans="32:34">
      <c r="AF3270" s="367">
        <f t="shared" si="51"/>
        <v>43070</v>
      </c>
      <c r="AG3270" s="368">
        <v>43080</v>
      </c>
      <c r="AH3270" s="370">
        <v>3016.18</v>
      </c>
    </row>
    <row r="3271" spans="32:34">
      <c r="AF3271" s="367">
        <f t="shared" si="51"/>
        <v>43070</v>
      </c>
      <c r="AG3271" s="368">
        <v>43081</v>
      </c>
      <c r="AH3271" s="370">
        <v>3013.99</v>
      </c>
    </row>
    <row r="3272" spans="32:34">
      <c r="AF3272" s="367">
        <f t="shared" si="51"/>
        <v>43070</v>
      </c>
      <c r="AG3272" s="368">
        <v>43082</v>
      </c>
      <c r="AH3272" s="370">
        <v>3029.75</v>
      </c>
    </row>
    <row r="3273" spans="32:34">
      <c r="AF3273" s="367">
        <f t="shared" si="51"/>
        <v>43070</v>
      </c>
      <c r="AG3273" s="368">
        <v>43083</v>
      </c>
      <c r="AH3273" s="370">
        <v>3015.41</v>
      </c>
    </row>
    <row r="3274" spans="32:34">
      <c r="AF3274" s="367">
        <f t="shared" si="51"/>
        <v>43070</v>
      </c>
      <c r="AG3274" s="368">
        <v>43084</v>
      </c>
      <c r="AH3274" s="370">
        <v>2999.07</v>
      </c>
    </row>
    <row r="3275" spans="32:34">
      <c r="AF3275" s="367">
        <f t="shared" si="51"/>
        <v>43070</v>
      </c>
      <c r="AG3275" s="368">
        <v>43085</v>
      </c>
      <c r="AH3275" s="370">
        <v>2996.61</v>
      </c>
    </row>
    <row r="3276" spans="32:34">
      <c r="AF3276" s="367">
        <f t="shared" si="51"/>
        <v>43070</v>
      </c>
      <c r="AG3276" s="368">
        <v>43086</v>
      </c>
      <c r="AH3276" s="370">
        <v>2996.61</v>
      </c>
    </row>
    <row r="3277" spans="32:34">
      <c r="AF3277" s="367">
        <f t="shared" si="51"/>
        <v>43070</v>
      </c>
      <c r="AG3277" s="368">
        <v>43087</v>
      </c>
      <c r="AH3277" s="370">
        <v>2996.61</v>
      </c>
    </row>
    <row r="3278" spans="32:34">
      <c r="AF3278" s="367">
        <f t="shared" si="51"/>
        <v>43070</v>
      </c>
      <c r="AG3278" s="368">
        <v>43088</v>
      </c>
      <c r="AH3278" s="370">
        <v>2975.59</v>
      </c>
    </row>
    <row r="3279" spans="32:34">
      <c r="AF3279" s="367">
        <f t="shared" si="51"/>
        <v>43070</v>
      </c>
      <c r="AG3279" s="368">
        <v>43089</v>
      </c>
      <c r="AH3279" s="370">
        <v>2972.05</v>
      </c>
    </row>
    <row r="3280" spans="32:34">
      <c r="AF3280" s="367">
        <f t="shared" si="51"/>
        <v>43070</v>
      </c>
      <c r="AG3280" s="368">
        <v>43090</v>
      </c>
      <c r="AH3280" s="370">
        <v>2965.77</v>
      </c>
    </row>
    <row r="3281" spans="32:34">
      <c r="AF3281" s="367">
        <f t="shared" si="51"/>
        <v>43070</v>
      </c>
      <c r="AG3281" s="368">
        <v>43091</v>
      </c>
      <c r="AH3281" s="370">
        <v>2963.58</v>
      </c>
    </row>
    <row r="3282" spans="32:34">
      <c r="AF3282" s="367">
        <f t="shared" si="51"/>
        <v>43070</v>
      </c>
      <c r="AG3282" s="368">
        <v>43092</v>
      </c>
      <c r="AH3282" s="370">
        <v>2962.14</v>
      </c>
    </row>
    <row r="3283" spans="32:34">
      <c r="AF3283" s="367">
        <f t="shared" si="51"/>
        <v>43070</v>
      </c>
      <c r="AG3283" s="368">
        <v>43093</v>
      </c>
      <c r="AH3283" s="370">
        <v>2962.14</v>
      </c>
    </row>
    <row r="3284" spans="32:34">
      <c r="AF3284" s="367">
        <f t="shared" si="51"/>
        <v>43070</v>
      </c>
      <c r="AG3284" s="368">
        <v>43094</v>
      </c>
      <c r="AH3284" s="370">
        <v>2962.14</v>
      </c>
    </row>
    <row r="3285" spans="32:34">
      <c r="AF3285" s="367">
        <f t="shared" si="51"/>
        <v>43070</v>
      </c>
      <c r="AG3285" s="368">
        <v>43095</v>
      </c>
      <c r="AH3285" s="370">
        <v>2962.14</v>
      </c>
    </row>
    <row r="3286" spans="32:34">
      <c r="AF3286" s="367">
        <f t="shared" si="51"/>
        <v>43070</v>
      </c>
      <c r="AG3286" s="368">
        <v>43096</v>
      </c>
      <c r="AH3286" s="370">
        <v>2962.26</v>
      </c>
    </row>
    <row r="3287" spans="32:34">
      <c r="AF3287" s="367">
        <f t="shared" si="51"/>
        <v>43070</v>
      </c>
      <c r="AG3287" s="368">
        <v>43097</v>
      </c>
      <c r="AH3287" s="370">
        <v>2971.63</v>
      </c>
    </row>
    <row r="3288" spans="32:34">
      <c r="AF3288" s="367">
        <f t="shared" si="51"/>
        <v>43070</v>
      </c>
      <c r="AG3288" s="368">
        <v>43098</v>
      </c>
      <c r="AH3288" s="370">
        <v>2984</v>
      </c>
    </row>
    <row r="3289" spans="32:34">
      <c r="AF3289" s="367">
        <f t="shared" si="51"/>
        <v>43070</v>
      </c>
      <c r="AG3289" s="368">
        <v>43099</v>
      </c>
      <c r="AH3289" s="370">
        <v>2984</v>
      </c>
    </row>
    <row r="3290" spans="32:34">
      <c r="AF3290" s="367">
        <f t="shared" si="51"/>
        <v>43070</v>
      </c>
      <c r="AG3290" s="368">
        <v>43100</v>
      </c>
      <c r="AH3290" s="370">
        <v>2984</v>
      </c>
    </row>
    <row r="3291" spans="32:34">
      <c r="AF3291" s="367">
        <f t="shared" si="51"/>
        <v>43101</v>
      </c>
      <c r="AG3291" s="368">
        <v>43101</v>
      </c>
      <c r="AH3291" s="370">
        <v>2984</v>
      </c>
    </row>
    <row r="3292" spans="32:34">
      <c r="AF3292" s="367">
        <f t="shared" si="51"/>
        <v>43101</v>
      </c>
      <c r="AG3292" s="368">
        <v>43102</v>
      </c>
      <c r="AH3292" s="370">
        <v>2984</v>
      </c>
    </row>
    <row r="3293" spans="32:34">
      <c r="AF3293" s="367">
        <f t="shared" si="51"/>
        <v>43101</v>
      </c>
      <c r="AG3293" s="368">
        <v>43103</v>
      </c>
      <c r="AH3293" s="370">
        <v>2940.94</v>
      </c>
    </row>
    <row r="3294" spans="32:34">
      <c r="AF3294" s="367">
        <f t="shared" si="51"/>
        <v>43101</v>
      </c>
      <c r="AG3294" s="368">
        <v>43104</v>
      </c>
      <c r="AH3294" s="370">
        <v>2908.68</v>
      </c>
    </row>
    <row r="3295" spans="32:34">
      <c r="AF3295" s="367">
        <f t="shared" si="51"/>
        <v>43101</v>
      </c>
      <c r="AG3295" s="368">
        <v>43105</v>
      </c>
      <c r="AH3295" s="370">
        <v>2885.76</v>
      </c>
    </row>
    <row r="3296" spans="32:34">
      <c r="AF3296" s="367">
        <f t="shared" si="51"/>
        <v>43101</v>
      </c>
      <c r="AG3296" s="368">
        <v>43106</v>
      </c>
      <c r="AH3296" s="370">
        <v>2898.32</v>
      </c>
    </row>
    <row r="3297" spans="32:34">
      <c r="AF3297" s="367">
        <f t="shared" si="51"/>
        <v>43101</v>
      </c>
      <c r="AG3297" s="368">
        <v>43107</v>
      </c>
      <c r="AH3297" s="370">
        <v>2898.32</v>
      </c>
    </row>
    <row r="3298" spans="32:34">
      <c r="AF3298" s="367">
        <f t="shared" si="51"/>
        <v>43101</v>
      </c>
      <c r="AG3298" s="368">
        <v>43108</v>
      </c>
      <c r="AH3298" s="370">
        <v>2898.32</v>
      </c>
    </row>
    <row r="3299" spans="32:34">
      <c r="AF3299" s="367">
        <f t="shared" si="51"/>
        <v>43101</v>
      </c>
      <c r="AG3299" s="368">
        <v>43109</v>
      </c>
      <c r="AH3299" s="370">
        <v>2898.32</v>
      </c>
    </row>
    <row r="3300" spans="32:34">
      <c r="AF3300" s="367">
        <f t="shared" si="51"/>
        <v>43101</v>
      </c>
      <c r="AG3300" s="368">
        <v>43110</v>
      </c>
      <c r="AH3300" s="370">
        <v>2914.37</v>
      </c>
    </row>
    <row r="3301" spans="32:34">
      <c r="AF3301" s="367">
        <f t="shared" si="51"/>
        <v>43101</v>
      </c>
      <c r="AG3301" s="368">
        <v>43111</v>
      </c>
      <c r="AH3301" s="370">
        <v>2895.69</v>
      </c>
    </row>
    <row r="3302" spans="32:34">
      <c r="AF3302" s="367">
        <f t="shared" si="51"/>
        <v>43101</v>
      </c>
      <c r="AG3302" s="368">
        <v>43112</v>
      </c>
      <c r="AH3302" s="370">
        <v>2865.79</v>
      </c>
    </row>
    <row r="3303" spans="32:34">
      <c r="AF3303" s="367">
        <f t="shared" si="51"/>
        <v>43101</v>
      </c>
      <c r="AG3303" s="368">
        <v>43113</v>
      </c>
      <c r="AH3303" s="370">
        <v>2855.86</v>
      </c>
    </row>
    <row r="3304" spans="32:34">
      <c r="AF3304" s="367">
        <f t="shared" si="51"/>
        <v>43101</v>
      </c>
      <c r="AG3304" s="368">
        <v>43114</v>
      </c>
      <c r="AH3304" s="370">
        <v>2855.86</v>
      </c>
    </row>
    <row r="3305" spans="32:34">
      <c r="AF3305" s="367">
        <f t="shared" si="51"/>
        <v>43101</v>
      </c>
      <c r="AG3305" s="368">
        <v>43115</v>
      </c>
      <c r="AH3305" s="370">
        <v>2855.86</v>
      </c>
    </row>
    <row r="3306" spans="32:34">
      <c r="AF3306" s="367">
        <f t="shared" si="51"/>
        <v>43101</v>
      </c>
      <c r="AG3306" s="368">
        <v>43116</v>
      </c>
      <c r="AH3306" s="370">
        <v>2855.86</v>
      </c>
    </row>
    <row r="3307" spans="32:34">
      <c r="AF3307" s="367">
        <f t="shared" si="51"/>
        <v>43101</v>
      </c>
      <c r="AG3307" s="368">
        <v>43117</v>
      </c>
      <c r="AH3307" s="370">
        <v>2868.03</v>
      </c>
    </row>
    <row r="3308" spans="32:34">
      <c r="AF3308" s="367">
        <f t="shared" si="51"/>
        <v>43101</v>
      </c>
      <c r="AG3308" s="368">
        <v>43118</v>
      </c>
      <c r="AH3308" s="370">
        <v>2851.13</v>
      </c>
    </row>
    <row r="3309" spans="32:34">
      <c r="AF3309" s="367">
        <f t="shared" si="51"/>
        <v>43101</v>
      </c>
      <c r="AG3309" s="368">
        <v>43119</v>
      </c>
      <c r="AH3309" s="370">
        <v>2836.85</v>
      </c>
    </row>
    <row r="3310" spans="32:34">
      <c r="AF3310" s="367">
        <f t="shared" si="51"/>
        <v>43101</v>
      </c>
      <c r="AG3310" s="368">
        <v>43120</v>
      </c>
      <c r="AH3310" s="370">
        <v>2851.75</v>
      </c>
    </row>
    <row r="3311" spans="32:34">
      <c r="AF3311" s="367">
        <f t="shared" si="51"/>
        <v>43101</v>
      </c>
      <c r="AG3311" s="368">
        <v>43121</v>
      </c>
      <c r="AH3311" s="370">
        <v>2851.75</v>
      </c>
    </row>
    <row r="3312" spans="32:34">
      <c r="AF3312" s="367">
        <f t="shared" si="51"/>
        <v>43101</v>
      </c>
      <c r="AG3312" s="368">
        <v>43122</v>
      </c>
      <c r="AH3312" s="370">
        <v>2851.75</v>
      </c>
    </row>
    <row r="3313" spans="32:34">
      <c r="AF3313" s="367">
        <f t="shared" si="51"/>
        <v>43101</v>
      </c>
      <c r="AG3313" s="368">
        <v>43123</v>
      </c>
      <c r="AH3313" s="370">
        <v>2854.2</v>
      </c>
    </row>
    <row r="3314" spans="32:34">
      <c r="AF3314" s="367">
        <f t="shared" si="51"/>
        <v>43101</v>
      </c>
      <c r="AG3314" s="368">
        <v>43124</v>
      </c>
      <c r="AH3314" s="370">
        <v>2858.5</v>
      </c>
    </row>
    <row r="3315" spans="32:34">
      <c r="AF3315" s="367">
        <f t="shared" si="51"/>
        <v>43101</v>
      </c>
      <c r="AG3315" s="368">
        <v>43125</v>
      </c>
      <c r="AH3315" s="370">
        <v>2820.53</v>
      </c>
    </row>
    <row r="3316" spans="32:34">
      <c r="AF3316" s="367">
        <f t="shared" si="51"/>
        <v>43101</v>
      </c>
      <c r="AG3316" s="368">
        <v>43126</v>
      </c>
      <c r="AH3316" s="370">
        <v>2783.13</v>
      </c>
    </row>
    <row r="3317" spans="32:34">
      <c r="AF3317" s="367">
        <f t="shared" si="51"/>
        <v>43101</v>
      </c>
      <c r="AG3317" s="368">
        <v>43127</v>
      </c>
      <c r="AH3317" s="370">
        <v>2805.12</v>
      </c>
    </row>
    <row r="3318" spans="32:34">
      <c r="AF3318" s="367">
        <f t="shared" si="51"/>
        <v>43101</v>
      </c>
      <c r="AG3318" s="368">
        <v>43128</v>
      </c>
      <c r="AH3318" s="370">
        <v>2805.12</v>
      </c>
    </row>
    <row r="3319" spans="32:34">
      <c r="AF3319" s="367">
        <f t="shared" si="51"/>
        <v>43101</v>
      </c>
      <c r="AG3319" s="368">
        <v>43129</v>
      </c>
      <c r="AH3319" s="370">
        <v>2805.12</v>
      </c>
    </row>
    <row r="3320" spans="32:34">
      <c r="AF3320" s="367">
        <f t="shared" si="51"/>
        <v>43101</v>
      </c>
      <c r="AG3320" s="368">
        <v>43130</v>
      </c>
      <c r="AH3320" s="370">
        <v>2842.67</v>
      </c>
    </row>
    <row r="3321" spans="32:34">
      <c r="AF3321" s="367">
        <f t="shared" si="51"/>
        <v>43101</v>
      </c>
      <c r="AG3321" s="368">
        <v>43131</v>
      </c>
      <c r="AH3321" s="370">
        <v>2844.14</v>
      </c>
    </row>
    <row r="3322" spans="32:34">
      <c r="AF3322" s="367">
        <f t="shared" si="51"/>
        <v>43132</v>
      </c>
      <c r="AG3322" s="368">
        <v>43132</v>
      </c>
      <c r="AH3322" s="370">
        <v>2835.05</v>
      </c>
    </row>
    <row r="3323" spans="32:34">
      <c r="AF3323" s="367">
        <f t="shared" si="51"/>
        <v>43132</v>
      </c>
      <c r="AG3323" s="368">
        <v>43133</v>
      </c>
      <c r="AH3323" s="370">
        <v>2806.67</v>
      </c>
    </row>
    <row r="3324" spans="32:34">
      <c r="AF3324" s="367">
        <f t="shared" si="51"/>
        <v>43132</v>
      </c>
      <c r="AG3324" s="368">
        <v>43134</v>
      </c>
      <c r="AH3324" s="370">
        <v>2832.13</v>
      </c>
    </row>
    <row r="3325" spans="32:34">
      <c r="AF3325" s="367">
        <f t="shared" si="51"/>
        <v>43132</v>
      </c>
      <c r="AG3325" s="368">
        <v>43135</v>
      </c>
      <c r="AH3325" s="370">
        <v>2832.13</v>
      </c>
    </row>
    <row r="3326" spans="32:34">
      <c r="AF3326" s="367">
        <f t="shared" si="51"/>
        <v>43132</v>
      </c>
      <c r="AG3326" s="368">
        <v>43136</v>
      </c>
      <c r="AH3326" s="370">
        <v>2832.13</v>
      </c>
    </row>
    <row r="3327" spans="32:34">
      <c r="AF3327" s="367">
        <f t="shared" si="51"/>
        <v>43132</v>
      </c>
      <c r="AG3327" s="368">
        <v>43137</v>
      </c>
      <c r="AH3327" s="370">
        <v>2843.6</v>
      </c>
    </row>
    <row r="3328" spans="32:34">
      <c r="AF3328" s="367">
        <f t="shared" si="51"/>
        <v>43132</v>
      </c>
      <c r="AG3328" s="368">
        <v>43138</v>
      </c>
      <c r="AH3328" s="370">
        <v>2844.83</v>
      </c>
    </row>
    <row r="3329" spans="32:34">
      <c r="AF3329" s="367">
        <f t="shared" si="51"/>
        <v>43132</v>
      </c>
      <c r="AG3329" s="368">
        <v>43139</v>
      </c>
      <c r="AH3329" s="370">
        <v>2830.89</v>
      </c>
    </row>
    <row r="3330" spans="32:34">
      <c r="AF3330" s="367">
        <f t="shared" si="51"/>
        <v>43132</v>
      </c>
      <c r="AG3330" s="368">
        <v>43140</v>
      </c>
      <c r="AH3330" s="370">
        <v>2862.78</v>
      </c>
    </row>
    <row r="3331" spans="32:34">
      <c r="AF3331" s="367">
        <f t="shared" si="51"/>
        <v>43132</v>
      </c>
      <c r="AG3331" s="368">
        <v>43141</v>
      </c>
      <c r="AH3331" s="370">
        <v>2908.7</v>
      </c>
    </row>
    <row r="3332" spans="32:34">
      <c r="AF3332" s="367">
        <f t="shared" ref="AF3332:AF3395" si="52">+DATE(YEAR(AG3332),MONTH(AG3332),1)</f>
        <v>43132</v>
      </c>
      <c r="AG3332" s="368">
        <v>43142</v>
      </c>
      <c r="AH3332" s="370">
        <v>2908.7</v>
      </c>
    </row>
    <row r="3333" spans="32:34">
      <c r="AF3333" s="367">
        <f t="shared" si="52"/>
        <v>43132</v>
      </c>
      <c r="AG3333" s="368">
        <v>43143</v>
      </c>
      <c r="AH3333" s="370">
        <v>2908.7</v>
      </c>
    </row>
    <row r="3334" spans="32:34">
      <c r="AF3334" s="367">
        <f t="shared" si="52"/>
        <v>43132</v>
      </c>
      <c r="AG3334" s="368">
        <v>43144</v>
      </c>
      <c r="AH3334" s="370">
        <v>2904.29</v>
      </c>
    </row>
    <row r="3335" spans="32:34">
      <c r="AF3335" s="367">
        <f t="shared" si="52"/>
        <v>43132</v>
      </c>
      <c r="AG3335" s="368">
        <v>43145</v>
      </c>
      <c r="AH3335" s="370">
        <v>2904.71</v>
      </c>
    </row>
    <row r="3336" spans="32:34">
      <c r="AF3336" s="367">
        <f t="shared" si="52"/>
        <v>43132</v>
      </c>
      <c r="AG3336" s="368">
        <v>43146</v>
      </c>
      <c r="AH3336" s="370">
        <v>2895.79</v>
      </c>
    </row>
    <row r="3337" spans="32:34">
      <c r="AF3337" s="367">
        <f t="shared" si="52"/>
        <v>43132</v>
      </c>
      <c r="AG3337" s="368">
        <v>43147</v>
      </c>
      <c r="AH3337" s="370">
        <v>2851.74</v>
      </c>
    </row>
    <row r="3338" spans="32:34">
      <c r="AF3338" s="367">
        <f t="shared" si="52"/>
        <v>43132</v>
      </c>
      <c r="AG3338" s="368">
        <v>43148</v>
      </c>
      <c r="AH3338" s="370">
        <v>2853.16</v>
      </c>
    </row>
    <row r="3339" spans="32:34">
      <c r="AF3339" s="367">
        <f t="shared" si="52"/>
        <v>43132</v>
      </c>
      <c r="AG3339" s="368">
        <v>43149</v>
      </c>
      <c r="AH3339" s="370">
        <v>2853.16</v>
      </c>
    </row>
    <row r="3340" spans="32:34">
      <c r="AF3340" s="367">
        <f t="shared" si="52"/>
        <v>43132</v>
      </c>
      <c r="AG3340" s="368">
        <v>43150</v>
      </c>
      <c r="AH3340" s="370">
        <v>2853.16</v>
      </c>
    </row>
    <row r="3341" spans="32:34">
      <c r="AF3341" s="367">
        <f t="shared" si="52"/>
        <v>43132</v>
      </c>
      <c r="AG3341" s="368">
        <v>43151</v>
      </c>
      <c r="AH3341" s="370">
        <v>2853.16</v>
      </c>
    </row>
    <row r="3342" spans="32:34">
      <c r="AF3342" s="367">
        <f t="shared" si="52"/>
        <v>43132</v>
      </c>
      <c r="AG3342" s="368">
        <v>43152</v>
      </c>
      <c r="AH3342" s="370">
        <v>2862.01</v>
      </c>
    </row>
    <row r="3343" spans="32:34">
      <c r="AF3343" s="367">
        <f t="shared" si="52"/>
        <v>43132</v>
      </c>
      <c r="AG3343" s="368">
        <v>43153</v>
      </c>
      <c r="AH3343" s="370">
        <v>2877.94</v>
      </c>
    </row>
    <row r="3344" spans="32:34">
      <c r="AF3344" s="367">
        <f t="shared" si="52"/>
        <v>43132</v>
      </c>
      <c r="AG3344" s="368">
        <v>43154</v>
      </c>
      <c r="AH3344" s="370">
        <v>2877.04</v>
      </c>
    </row>
    <row r="3345" spans="32:34">
      <c r="AF3345" s="367">
        <f t="shared" si="52"/>
        <v>43132</v>
      </c>
      <c r="AG3345" s="368">
        <v>43155</v>
      </c>
      <c r="AH3345" s="370">
        <v>2849.59</v>
      </c>
    </row>
    <row r="3346" spans="32:34">
      <c r="AF3346" s="367">
        <f t="shared" si="52"/>
        <v>43132</v>
      </c>
      <c r="AG3346" s="368">
        <v>43156</v>
      </c>
      <c r="AH3346" s="370">
        <v>2849.59</v>
      </c>
    </row>
    <row r="3347" spans="32:34">
      <c r="AF3347" s="367">
        <f t="shared" si="52"/>
        <v>43132</v>
      </c>
      <c r="AG3347" s="368">
        <v>43157</v>
      </c>
      <c r="AH3347" s="370">
        <v>2849.59</v>
      </c>
    </row>
    <row r="3348" spans="32:34">
      <c r="AF3348" s="367">
        <f t="shared" si="52"/>
        <v>43132</v>
      </c>
      <c r="AG3348" s="368">
        <v>43158</v>
      </c>
      <c r="AH3348" s="370">
        <v>2849.91</v>
      </c>
    </row>
    <row r="3349" spans="32:34">
      <c r="AF3349" s="367">
        <f t="shared" si="52"/>
        <v>43132</v>
      </c>
      <c r="AG3349" s="368">
        <v>43159</v>
      </c>
      <c r="AH3349" s="370">
        <v>2855.93</v>
      </c>
    </row>
    <row r="3350" spans="32:34">
      <c r="AF3350" s="367">
        <f t="shared" si="52"/>
        <v>43160</v>
      </c>
      <c r="AG3350" s="368">
        <v>43160</v>
      </c>
      <c r="AH3350" s="370">
        <v>2867.94</v>
      </c>
    </row>
    <row r="3351" spans="32:34">
      <c r="AF3351" s="367">
        <f t="shared" si="52"/>
        <v>43160</v>
      </c>
      <c r="AG3351" s="368">
        <v>43161</v>
      </c>
      <c r="AH3351" s="370">
        <v>2879.05</v>
      </c>
    </row>
    <row r="3352" spans="32:34">
      <c r="AF3352" s="367">
        <f t="shared" si="52"/>
        <v>43160</v>
      </c>
      <c r="AG3352" s="368">
        <v>43162</v>
      </c>
      <c r="AH3352" s="370">
        <v>2879.15</v>
      </c>
    </row>
    <row r="3353" spans="32:34">
      <c r="AF3353" s="367">
        <f t="shared" si="52"/>
        <v>43160</v>
      </c>
      <c r="AG3353" s="368">
        <v>43163</v>
      </c>
      <c r="AH3353" s="370">
        <v>2879.15</v>
      </c>
    </row>
    <row r="3354" spans="32:34">
      <c r="AF3354" s="367">
        <f t="shared" si="52"/>
        <v>43160</v>
      </c>
      <c r="AG3354" s="368">
        <v>43164</v>
      </c>
      <c r="AH3354" s="370">
        <v>2879.15</v>
      </c>
    </row>
    <row r="3355" spans="32:34">
      <c r="AF3355" s="367">
        <f t="shared" si="52"/>
        <v>43160</v>
      </c>
      <c r="AG3355" s="368">
        <v>43165</v>
      </c>
      <c r="AH3355" s="370">
        <v>2859.09</v>
      </c>
    </row>
    <row r="3356" spans="32:34">
      <c r="AF3356" s="367">
        <f t="shared" si="52"/>
        <v>43160</v>
      </c>
      <c r="AG3356" s="368">
        <v>43166</v>
      </c>
      <c r="AH3356" s="370">
        <v>2845.05</v>
      </c>
    </row>
    <row r="3357" spans="32:34">
      <c r="AF3357" s="367">
        <f t="shared" si="52"/>
        <v>43160</v>
      </c>
      <c r="AG3357" s="368">
        <v>43167</v>
      </c>
      <c r="AH3357" s="370">
        <v>2858.88</v>
      </c>
    </row>
    <row r="3358" spans="32:34">
      <c r="AF3358" s="367">
        <f t="shared" si="52"/>
        <v>43160</v>
      </c>
      <c r="AG3358" s="368">
        <v>43168</v>
      </c>
      <c r="AH3358" s="370">
        <v>2871.36</v>
      </c>
    </row>
    <row r="3359" spans="32:34">
      <c r="AF3359" s="367">
        <f t="shared" si="52"/>
        <v>43160</v>
      </c>
      <c r="AG3359" s="368">
        <v>43169</v>
      </c>
      <c r="AH3359" s="370">
        <v>2866.93</v>
      </c>
    </row>
    <row r="3360" spans="32:34">
      <c r="AF3360" s="367">
        <f t="shared" si="52"/>
        <v>43160</v>
      </c>
      <c r="AG3360" s="368">
        <v>43170</v>
      </c>
      <c r="AH3360" s="370">
        <v>2866.93</v>
      </c>
    </row>
    <row r="3361" spans="32:34">
      <c r="AF3361" s="367">
        <f t="shared" si="52"/>
        <v>43160</v>
      </c>
      <c r="AG3361" s="368">
        <v>43171</v>
      </c>
      <c r="AH3361" s="370">
        <v>2866.93</v>
      </c>
    </row>
    <row r="3362" spans="32:34">
      <c r="AF3362" s="367">
        <f t="shared" si="52"/>
        <v>43160</v>
      </c>
      <c r="AG3362" s="368">
        <v>43172</v>
      </c>
      <c r="AH3362" s="370">
        <v>2851.84</v>
      </c>
    </row>
    <row r="3363" spans="32:34">
      <c r="AF3363" s="367">
        <f t="shared" si="52"/>
        <v>43160</v>
      </c>
      <c r="AG3363" s="368">
        <v>43173</v>
      </c>
      <c r="AH3363" s="370">
        <v>2848.38</v>
      </c>
    </row>
    <row r="3364" spans="32:34">
      <c r="AF3364" s="367">
        <f t="shared" si="52"/>
        <v>43160</v>
      </c>
      <c r="AG3364" s="368">
        <v>43174</v>
      </c>
      <c r="AH3364" s="370">
        <v>2845.76</v>
      </c>
    </row>
    <row r="3365" spans="32:34">
      <c r="AF3365" s="367">
        <f t="shared" si="52"/>
        <v>43160</v>
      </c>
      <c r="AG3365" s="368">
        <v>43175</v>
      </c>
      <c r="AH3365" s="370">
        <v>2850.04</v>
      </c>
    </row>
    <row r="3366" spans="32:34">
      <c r="AF3366" s="367">
        <f t="shared" si="52"/>
        <v>43160</v>
      </c>
      <c r="AG3366" s="368">
        <v>43176</v>
      </c>
      <c r="AH3366" s="370">
        <v>2852.48</v>
      </c>
    </row>
    <row r="3367" spans="32:34">
      <c r="AF3367" s="367">
        <f t="shared" si="52"/>
        <v>43160</v>
      </c>
      <c r="AG3367" s="368">
        <v>43177</v>
      </c>
      <c r="AH3367" s="370">
        <v>2852.48</v>
      </c>
    </row>
    <row r="3368" spans="32:34">
      <c r="AF3368" s="367">
        <f t="shared" si="52"/>
        <v>43160</v>
      </c>
      <c r="AG3368" s="368">
        <v>43178</v>
      </c>
      <c r="AH3368" s="370">
        <v>2852.48</v>
      </c>
    </row>
    <row r="3369" spans="32:34">
      <c r="AF3369" s="367">
        <f t="shared" si="52"/>
        <v>43160</v>
      </c>
      <c r="AG3369" s="368">
        <v>43179</v>
      </c>
      <c r="AH3369" s="370">
        <v>2852.48</v>
      </c>
    </row>
    <row r="3370" spans="32:34">
      <c r="AF3370" s="367">
        <f t="shared" si="52"/>
        <v>43160</v>
      </c>
      <c r="AG3370" s="368">
        <v>43180</v>
      </c>
      <c r="AH3370" s="370">
        <v>2866.92</v>
      </c>
    </row>
    <row r="3371" spans="32:34">
      <c r="AF3371" s="367">
        <f t="shared" si="52"/>
        <v>43160</v>
      </c>
      <c r="AG3371" s="368">
        <v>43181</v>
      </c>
      <c r="AH3371" s="370">
        <v>2850.69</v>
      </c>
    </row>
    <row r="3372" spans="32:34">
      <c r="AF3372" s="367">
        <f t="shared" si="52"/>
        <v>43160</v>
      </c>
      <c r="AG3372" s="368">
        <v>43182</v>
      </c>
      <c r="AH3372" s="370">
        <v>2857.88</v>
      </c>
    </row>
    <row r="3373" spans="32:34">
      <c r="AF3373" s="367">
        <f t="shared" si="52"/>
        <v>43160</v>
      </c>
      <c r="AG3373" s="368">
        <v>43183</v>
      </c>
      <c r="AH3373" s="370">
        <v>2849.01</v>
      </c>
    </row>
    <row r="3374" spans="32:34">
      <c r="AF3374" s="367">
        <f t="shared" si="52"/>
        <v>43160</v>
      </c>
      <c r="AG3374" s="368">
        <v>43184</v>
      </c>
      <c r="AH3374" s="370">
        <v>2849.01</v>
      </c>
    </row>
    <row r="3375" spans="32:34">
      <c r="AF3375" s="367">
        <f t="shared" si="52"/>
        <v>43160</v>
      </c>
      <c r="AG3375" s="368">
        <v>43185</v>
      </c>
      <c r="AH3375" s="370">
        <v>2849.01</v>
      </c>
    </row>
    <row r="3376" spans="32:34">
      <c r="AF3376" s="367">
        <f t="shared" si="52"/>
        <v>43160</v>
      </c>
      <c r="AG3376" s="368">
        <v>43186</v>
      </c>
      <c r="AH3376" s="370">
        <v>2816.33</v>
      </c>
    </row>
    <row r="3377" spans="32:34">
      <c r="AF3377" s="367">
        <f t="shared" si="52"/>
        <v>43160</v>
      </c>
      <c r="AG3377" s="368">
        <v>43187</v>
      </c>
      <c r="AH3377" s="370">
        <v>2780.04</v>
      </c>
    </row>
    <row r="3378" spans="32:34">
      <c r="AF3378" s="367">
        <f t="shared" si="52"/>
        <v>43160</v>
      </c>
      <c r="AG3378" s="368">
        <v>43188</v>
      </c>
      <c r="AH3378" s="370">
        <v>2780.47</v>
      </c>
    </row>
    <row r="3379" spans="32:34">
      <c r="AF3379" s="367">
        <f t="shared" si="52"/>
        <v>43160</v>
      </c>
      <c r="AG3379" s="368">
        <v>43189</v>
      </c>
      <c r="AH3379" s="370">
        <v>2780.47</v>
      </c>
    </row>
    <row r="3380" spans="32:34">
      <c r="AF3380" s="367">
        <f t="shared" si="52"/>
        <v>43160</v>
      </c>
      <c r="AG3380" s="368">
        <v>43190</v>
      </c>
      <c r="AH3380" s="370">
        <v>2780.47</v>
      </c>
    </row>
    <row r="3381" spans="32:34">
      <c r="AF3381" s="367">
        <f t="shared" si="52"/>
        <v>43191</v>
      </c>
      <c r="AG3381" s="368">
        <v>43191</v>
      </c>
      <c r="AH3381" s="370">
        <v>2780.47</v>
      </c>
    </row>
    <row r="3382" spans="32:34">
      <c r="AF3382" s="367">
        <f t="shared" si="52"/>
        <v>43191</v>
      </c>
      <c r="AG3382" s="368">
        <v>43192</v>
      </c>
      <c r="AH3382" s="370">
        <v>2780.47</v>
      </c>
    </row>
    <row r="3383" spans="32:34">
      <c r="AF3383" s="367">
        <f t="shared" si="52"/>
        <v>43191</v>
      </c>
      <c r="AG3383" s="368">
        <v>43193</v>
      </c>
      <c r="AH3383" s="370">
        <v>2792.96</v>
      </c>
    </row>
    <row r="3384" spans="32:34">
      <c r="AF3384" s="367">
        <f t="shared" si="52"/>
        <v>43191</v>
      </c>
      <c r="AG3384" s="368">
        <v>43194</v>
      </c>
      <c r="AH3384" s="370">
        <v>2778.27</v>
      </c>
    </row>
    <row r="3385" spans="32:34">
      <c r="AF3385" s="367">
        <f t="shared" si="52"/>
        <v>43191</v>
      </c>
      <c r="AG3385" s="368">
        <v>43195</v>
      </c>
      <c r="AH3385" s="370">
        <v>2791.57</v>
      </c>
    </row>
    <row r="3386" spans="32:34">
      <c r="AF3386" s="367">
        <f t="shared" si="52"/>
        <v>43191</v>
      </c>
      <c r="AG3386" s="368">
        <v>43196</v>
      </c>
      <c r="AH3386" s="370">
        <v>2787.36</v>
      </c>
    </row>
    <row r="3387" spans="32:34">
      <c r="AF3387" s="367">
        <f t="shared" si="52"/>
        <v>43191</v>
      </c>
      <c r="AG3387" s="368">
        <v>43197</v>
      </c>
      <c r="AH3387" s="370">
        <v>2791.88</v>
      </c>
    </row>
    <row r="3388" spans="32:34">
      <c r="AF3388" s="367">
        <f t="shared" si="52"/>
        <v>43191</v>
      </c>
      <c r="AG3388" s="368">
        <v>43198</v>
      </c>
      <c r="AH3388" s="370">
        <v>2791.88</v>
      </c>
    </row>
    <row r="3389" spans="32:34">
      <c r="AF3389" s="367">
        <f t="shared" si="52"/>
        <v>43191</v>
      </c>
      <c r="AG3389" s="368">
        <v>43199</v>
      </c>
      <c r="AH3389" s="370">
        <v>2791.88</v>
      </c>
    </row>
    <row r="3390" spans="32:34">
      <c r="AF3390" s="367">
        <f t="shared" si="52"/>
        <v>43191</v>
      </c>
      <c r="AG3390" s="368">
        <v>43200</v>
      </c>
      <c r="AH3390" s="370">
        <v>2781.95</v>
      </c>
    </row>
    <row r="3391" spans="32:34">
      <c r="AF3391" s="367">
        <f t="shared" si="52"/>
        <v>43191</v>
      </c>
      <c r="AG3391" s="368">
        <v>43201</v>
      </c>
      <c r="AH3391" s="370">
        <v>2767.82</v>
      </c>
    </row>
    <row r="3392" spans="32:34">
      <c r="AF3392" s="367">
        <f t="shared" si="52"/>
        <v>43191</v>
      </c>
      <c r="AG3392" s="368">
        <v>43202</v>
      </c>
      <c r="AH3392" s="370">
        <v>2733.24</v>
      </c>
    </row>
    <row r="3393" spans="32:34">
      <c r="AF3393" s="367">
        <f t="shared" si="52"/>
        <v>43191</v>
      </c>
      <c r="AG3393" s="368">
        <v>43203</v>
      </c>
      <c r="AH3393" s="370">
        <v>2710.03</v>
      </c>
    </row>
    <row r="3394" spans="32:34">
      <c r="AF3394" s="367">
        <f t="shared" si="52"/>
        <v>43191</v>
      </c>
      <c r="AG3394" s="368">
        <v>43204</v>
      </c>
      <c r="AH3394" s="370">
        <v>2705.34</v>
      </c>
    </row>
    <row r="3395" spans="32:34">
      <c r="AF3395" s="367">
        <f t="shared" si="52"/>
        <v>43191</v>
      </c>
      <c r="AG3395" s="368">
        <v>43205</v>
      </c>
      <c r="AH3395" s="370">
        <v>2705.34</v>
      </c>
    </row>
    <row r="3396" spans="32:34">
      <c r="AF3396" s="367">
        <f t="shared" ref="AF3396:AF3459" si="53">+DATE(YEAR(AG3396),MONTH(AG3396),1)</f>
        <v>43191</v>
      </c>
      <c r="AG3396" s="368">
        <v>43206</v>
      </c>
      <c r="AH3396" s="370">
        <v>2705.34</v>
      </c>
    </row>
    <row r="3397" spans="32:34">
      <c r="AF3397" s="367">
        <f t="shared" si="53"/>
        <v>43191</v>
      </c>
      <c r="AG3397" s="368">
        <v>43207</v>
      </c>
      <c r="AH3397" s="370">
        <v>2726.47</v>
      </c>
    </row>
    <row r="3398" spans="32:34">
      <c r="AF3398" s="367">
        <f t="shared" si="53"/>
        <v>43191</v>
      </c>
      <c r="AG3398" s="368">
        <v>43208</v>
      </c>
      <c r="AH3398" s="370">
        <v>2725.66</v>
      </c>
    </row>
    <row r="3399" spans="32:34">
      <c r="AF3399" s="367">
        <f t="shared" si="53"/>
        <v>43191</v>
      </c>
      <c r="AG3399" s="368">
        <v>43209</v>
      </c>
      <c r="AH3399" s="370">
        <v>2705.64</v>
      </c>
    </row>
    <row r="3400" spans="32:34">
      <c r="AF3400" s="367">
        <f t="shared" si="53"/>
        <v>43191</v>
      </c>
      <c r="AG3400" s="368">
        <v>43210</v>
      </c>
      <c r="AH3400" s="370">
        <v>2724.47</v>
      </c>
    </row>
    <row r="3401" spans="32:34">
      <c r="AF3401" s="367">
        <f t="shared" si="53"/>
        <v>43191</v>
      </c>
      <c r="AG3401" s="368">
        <v>43211</v>
      </c>
      <c r="AH3401" s="370">
        <v>2757.96</v>
      </c>
    </row>
    <row r="3402" spans="32:34">
      <c r="AF3402" s="367">
        <f t="shared" si="53"/>
        <v>43191</v>
      </c>
      <c r="AG3402" s="368">
        <v>43212</v>
      </c>
      <c r="AH3402" s="370">
        <v>2757.96</v>
      </c>
    </row>
    <row r="3403" spans="32:34">
      <c r="AF3403" s="367">
        <f t="shared" si="53"/>
        <v>43191</v>
      </c>
      <c r="AG3403" s="368">
        <v>43213</v>
      </c>
      <c r="AH3403" s="370">
        <v>2757.96</v>
      </c>
    </row>
    <row r="3404" spans="32:34">
      <c r="AF3404" s="367">
        <f t="shared" si="53"/>
        <v>43191</v>
      </c>
      <c r="AG3404" s="368">
        <v>43214</v>
      </c>
      <c r="AH3404" s="370">
        <v>2799.45</v>
      </c>
    </row>
    <row r="3405" spans="32:34">
      <c r="AF3405" s="367">
        <f t="shared" si="53"/>
        <v>43191</v>
      </c>
      <c r="AG3405" s="368">
        <v>43215</v>
      </c>
      <c r="AH3405" s="370">
        <v>2785.22</v>
      </c>
    </row>
    <row r="3406" spans="32:34">
      <c r="AF3406" s="367">
        <f t="shared" si="53"/>
        <v>43191</v>
      </c>
      <c r="AG3406" s="368">
        <v>43216</v>
      </c>
      <c r="AH3406" s="370">
        <v>2820.29</v>
      </c>
    </row>
    <row r="3407" spans="32:34">
      <c r="AF3407" s="367">
        <f t="shared" si="53"/>
        <v>43191</v>
      </c>
      <c r="AG3407" s="368">
        <v>43217</v>
      </c>
      <c r="AH3407" s="370">
        <v>2812.83</v>
      </c>
    </row>
    <row r="3408" spans="32:34">
      <c r="AF3408" s="367">
        <f t="shared" si="53"/>
        <v>43191</v>
      </c>
      <c r="AG3408" s="368">
        <v>43218</v>
      </c>
      <c r="AH3408" s="370">
        <v>2806.28</v>
      </c>
    </row>
    <row r="3409" spans="32:34">
      <c r="AF3409" s="367">
        <f t="shared" si="53"/>
        <v>43191</v>
      </c>
      <c r="AG3409" s="368">
        <v>43219</v>
      </c>
      <c r="AH3409" s="370">
        <v>2806.28</v>
      </c>
    </row>
    <row r="3410" spans="32:34">
      <c r="AF3410" s="367">
        <f t="shared" si="53"/>
        <v>43191</v>
      </c>
      <c r="AG3410" s="368">
        <v>43220</v>
      </c>
      <c r="AH3410" s="370">
        <v>2806.28</v>
      </c>
    </row>
    <row r="3411" spans="32:34">
      <c r="AF3411" s="367">
        <f t="shared" si="53"/>
        <v>43221</v>
      </c>
      <c r="AG3411" s="368">
        <v>43221</v>
      </c>
      <c r="AH3411" s="370">
        <v>2809.92</v>
      </c>
    </row>
    <row r="3412" spans="32:34">
      <c r="AF3412" s="367">
        <f t="shared" si="53"/>
        <v>43221</v>
      </c>
      <c r="AG3412" s="368">
        <v>43222</v>
      </c>
      <c r="AH3412" s="370">
        <v>2809.92</v>
      </c>
    </row>
    <row r="3413" spans="32:34">
      <c r="AF3413" s="367">
        <f t="shared" si="53"/>
        <v>43221</v>
      </c>
      <c r="AG3413" s="368">
        <v>43223</v>
      </c>
      <c r="AH3413" s="370">
        <v>2831.99</v>
      </c>
    </row>
    <row r="3414" spans="32:34">
      <c r="AF3414" s="367">
        <f t="shared" si="53"/>
        <v>43221</v>
      </c>
      <c r="AG3414" s="368">
        <v>43224</v>
      </c>
      <c r="AH3414" s="370">
        <v>2857.85</v>
      </c>
    </row>
    <row r="3415" spans="32:34">
      <c r="AF3415" s="367">
        <f t="shared" si="53"/>
        <v>43221</v>
      </c>
      <c r="AG3415" s="368">
        <v>43225</v>
      </c>
      <c r="AH3415" s="370">
        <v>2843.41</v>
      </c>
    </row>
    <row r="3416" spans="32:34">
      <c r="AF3416" s="367">
        <f t="shared" si="53"/>
        <v>43221</v>
      </c>
      <c r="AG3416" s="368">
        <v>43226</v>
      </c>
      <c r="AH3416" s="370">
        <v>2843.41</v>
      </c>
    </row>
    <row r="3417" spans="32:34">
      <c r="AF3417" s="367">
        <f t="shared" si="53"/>
        <v>43221</v>
      </c>
      <c r="AG3417" s="368">
        <v>43227</v>
      </c>
      <c r="AH3417" s="370">
        <v>2843.41</v>
      </c>
    </row>
    <row r="3418" spans="32:34">
      <c r="AF3418" s="367">
        <f t="shared" si="53"/>
        <v>43221</v>
      </c>
      <c r="AG3418" s="368">
        <v>43228</v>
      </c>
      <c r="AH3418" s="370">
        <v>2817.2</v>
      </c>
    </row>
    <row r="3419" spans="32:34">
      <c r="AF3419" s="367">
        <f t="shared" si="53"/>
        <v>43221</v>
      </c>
      <c r="AG3419" s="368">
        <v>43229</v>
      </c>
      <c r="AH3419" s="370">
        <v>2866</v>
      </c>
    </row>
    <row r="3420" spans="32:34">
      <c r="AF3420" s="367">
        <f t="shared" si="53"/>
        <v>43221</v>
      </c>
      <c r="AG3420" s="368">
        <v>43230</v>
      </c>
      <c r="AH3420" s="370">
        <v>2859.51</v>
      </c>
    </row>
    <row r="3421" spans="32:34">
      <c r="AF3421" s="367">
        <f t="shared" si="53"/>
        <v>43221</v>
      </c>
      <c r="AG3421" s="368">
        <v>43231</v>
      </c>
      <c r="AH3421" s="370">
        <v>2822.37</v>
      </c>
    </row>
    <row r="3422" spans="32:34">
      <c r="AF3422" s="367">
        <f t="shared" si="53"/>
        <v>43221</v>
      </c>
      <c r="AG3422" s="368">
        <v>43232</v>
      </c>
      <c r="AH3422" s="370">
        <v>2824.05</v>
      </c>
    </row>
    <row r="3423" spans="32:34">
      <c r="AF3423" s="367">
        <f t="shared" si="53"/>
        <v>43221</v>
      </c>
      <c r="AG3423" s="368">
        <v>43233</v>
      </c>
      <c r="AH3423" s="370">
        <v>2824.05</v>
      </c>
    </row>
    <row r="3424" spans="32:34">
      <c r="AF3424" s="367">
        <f t="shared" si="53"/>
        <v>43221</v>
      </c>
      <c r="AG3424" s="368">
        <v>43234</v>
      </c>
      <c r="AH3424" s="370">
        <v>2824.05</v>
      </c>
    </row>
    <row r="3425" spans="32:34">
      <c r="AF3425" s="367">
        <f t="shared" si="53"/>
        <v>43221</v>
      </c>
      <c r="AG3425" s="368">
        <v>43235</v>
      </c>
      <c r="AH3425" s="370">
        <v>2824.05</v>
      </c>
    </row>
    <row r="3426" spans="32:34">
      <c r="AF3426" s="367">
        <f t="shared" si="53"/>
        <v>43221</v>
      </c>
      <c r="AG3426" s="368">
        <v>43236</v>
      </c>
      <c r="AH3426" s="370">
        <v>2889.87</v>
      </c>
    </row>
    <row r="3427" spans="32:34">
      <c r="AF3427" s="367">
        <f t="shared" si="53"/>
        <v>43221</v>
      </c>
      <c r="AG3427" s="368">
        <v>43237</v>
      </c>
      <c r="AH3427" s="370">
        <v>2865.37</v>
      </c>
    </row>
    <row r="3428" spans="32:34">
      <c r="AF3428" s="367">
        <f t="shared" si="53"/>
        <v>43221</v>
      </c>
      <c r="AG3428" s="368">
        <v>43238</v>
      </c>
      <c r="AH3428" s="370">
        <v>2886.23</v>
      </c>
    </row>
    <row r="3429" spans="32:34">
      <c r="AF3429" s="367">
        <f t="shared" si="53"/>
        <v>43221</v>
      </c>
      <c r="AG3429" s="368">
        <v>43239</v>
      </c>
      <c r="AH3429" s="370">
        <v>2925.67</v>
      </c>
    </row>
    <row r="3430" spans="32:34">
      <c r="AF3430" s="367">
        <f t="shared" si="53"/>
        <v>43221</v>
      </c>
      <c r="AG3430" s="368">
        <v>43240</v>
      </c>
      <c r="AH3430" s="370">
        <v>2925.67</v>
      </c>
    </row>
    <row r="3431" spans="32:34">
      <c r="AF3431" s="367">
        <f t="shared" si="53"/>
        <v>43221</v>
      </c>
      <c r="AG3431" s="368">
        <v>43241</v>
      </c>
      <c r="AH3431" s="370">
        <v>2925.67</v>
      </c>
    </row>
    <row r="3432" spans="32:34">
      <c r="AF3432" s="367">
        <f t="shared" si="53"/>
        <v>43221</v>
      </c>
      <c r="AG3432" s="368">
        <v>43242</v>
      </c>
      <c r="AH3432" s="370">
        <v>2897.37</v>
      </c>
    </row>
    <row r="3433" spans="32:34">
      <c r="AF3433" s="367">
        <f t="shared" si="53"/>
        <v>43221</v>
      </c>
      <c r="AG3433" s="368">
        <v>43243</v>
      </c>
      <c r="AH3433" s="370">
        <v>2851.42</v>
      </c>
    </row>
    <row r="3434" spans="32:34">
      <c r="AF3434" s="367">
        <f t="shared" si="53"/>
        <v>43221</v>
      </c>
      <c r="AG3434" s="368">
        <v>43244</v>
      </c>
      <c r="AH3434" s="370">
        <v>2863.24</v>
      </c>
    </row>
    <row r="3435" spans="32:34">
      <c r="AF3435" s="367">
        <f t="shared" si="53"/>
        <v>43221</v>
      </c>
      <c r="AG3435" s="368">
        <v>43245</v>
      </c>
      <c r="AH3435" s="370">
        <v>2863.12</v>
      </c>
    </row>
    <row r="3436" spans="32:34">
      <c r="AF3436" s="367">
        <f t="shared" si="53"/>
        <v>43221</v>
      </c>
      <c r="AG3436" s="368">
        <v>43246</v>
      </c>
      <c r="AH3436" s="370">
        <v>2887.16</v>
      </c>
    </row>
    <row r="3437" spans="32:34">
      <c r="AF3437" s="367">
        <f t="shared" si="53"/>
        <v>43221</v>
      </c>
      <c r="AG3437" s="368">
        <v>43247</v>
      </c>
      <c r="AH3437" s="370">
        <v>2887.16</v>
      </c>
    </row>
    <row r="3438" spans="32:34">
      <c r="AF3438" s="367">
        <f t="shared" si="53"/>
        <v>43221</v>
      </c>
      <c r="AG3438" s="368">
        <v>43248</v>
      </c>
      <c r="AH3438" s="370">
        <v>2887.16</v>
      </c>
    </row>
    <row r="3439" spans="32:34">
      <c r="AF3439" s="367">
        <f t="shared" si="53"/>
        <v>43221</v>
      </c>
      <c r="AG3439" s="368">
        <v>43249</v>
      </c>
      <c r="AH3439" s="370">
        <v>2887.16</v>
      </c>
    </row>
    <row r="3440" spans="32:34">
      <c r="AF3440" s="367">
        <f t="shared" si="53"/>
        <v>43221</v>
      </c>
      <c r="AG3440" s="368">
        <v>43250</v>
      </c>
      <c r="AH3440" s="370">
        <v>2893.82</v>
      </c>
    </row>
    <row r="3441" spans="32:34">
      <c r="AF3441" s="367">
        <f t="shared" si="53"/>
        <v>43221</v>
      </c>
      <c r="AG3441" s="368">
        <v>43251</v>
      </c>
      <c r="AH3441" s="370">
        <v>2879.32</v>
      </c>
    </row>
    <row r="3442" spans="32:34">
      <c r="AF3442" s="367">
        <f t="shared" si="53"/>
        <v>43252</v>
      </c>
      <c r="AG3442" s="368">
        <v>43252</v>
      </c>
      <c r="AH3442" s="370">
        <v>2889.32</v>
      </c>
    </row>
    <row r="3443" spans="32:34">
      <c r="AF3443" s="367">
        <f t="shared" si="53"/>
        <v>43252</v>
      </c>
      <c r="AG3443" s="368">
        <v>43253</v>
      </c>
      <c r="AH3443" s="370">
        <v>2868.22</v>
      </c>
    </row>
    <row r="3444" spans="32:34">
      <c r="AF3444" s="367">
        <f t="shared" si="53"/>
        <v>43252</v>
      </c>
      <c r="AG3444" s="368">
        <v>43254</v>
      </c>
      <c r="AH3444" s="370">
        <v>2868.22</v>
      </c>
    </row>
    <row r="3445" spans="32:34">
      <c r="AF3445" s="367">
        <f t="shared" si="53"/>
        <v>43252</v>
      </c>
      <c r="AG3445" s="368">
        <v>43255</v>
      </c>
      <c r="AH3445" s="370">
        <v>2868.22</v>
      </c>
    </row>
    <row r="3446" spans="32:34">
      <c r="AF3446" s="367">
        <f t="shared" si="53"/>
        <v>43252</v>
      </c>
      <c r="AG3446" s="368">
        <v>43256</v>
      </c>
      <c r="AH3446" s="370">
        <v>2868.22</v>
      </c>
    </row>
    <row r="3447" spans="32:34">
      <c r="AF3447" s="367">
        <f t="shared" si="53"/>
        <v>43252</v>
      </c>
      <c r="AG3447" s="368">
        <v>43257</v>
      </c>
      <c r="AH3447" s="370">
        <v>2865.37</v>
      </c>
    </row>
    <row r="3448" spans="32:34">
      <c r="AF3448" s="367">
        <f t="shared" si="53"/>
        <v>43252</v>
      </c>
      <c r="AG3448" s="368">
        <v>43258</v>
      </c>
      <c r="AH3448" s="370">
        <v>2828.42</v>
      </c>
    </row>
    <row r="3449" spans="32:34">
      <c r="AF3449" s="367">
        <f t="shared" si="53"/>
        <v>43252</v>
      </c>
      <c r="AG3449" s="368">
        <v>43259</v>
      </c>
      <c r="AH3449" s="370">
        <v>2835.78</v>
      </c>
    </row>
    <row r="3450" spans="32:34">
      <c r="AF3450" s="367">
        <f t="shared" si="53"/>
        <v>43252</v>
      </c>
      <c r="AG3450" s="368">
        <v>43260</v>
      </c>
      <c r="AH3450" s="370">
        <v>2855.8</v>
      </c>
    </row>
    <row r="3451" spans="32:34">
      <c r="AF3451" s="367">
        <f t="shared" si="53"/>
        <v>43252</v>
      </c>
      <c r="AG3451" s="368">
        <v>43261</v>
      </c>
      <c r="AH3451" s="370">
        <v>2855.8</v>
      </c>
    </row>
    <row r="3452" spans="32:34">
      <c r="AF3452" s="367">
        <f t="shared" si="53"/>
        <v>43252</v>
      </c>
      <c r="AG3452" s="368">
        <v>43262</v>
      </c>
      <c r="AH3452" s="370">
        <v>2855.8</v>
      </c>
    </row>
    <row r="3453" spans="32:34">
      <c r="AF3453" s="367">
        <f t="shared" si="53"/>
        <v>43252</v>
      </c>
      <c r="AG3453" s="368">
        <v>43263</v>
      </c>
      <c r="AH3453" s="370">
        <v>2855.8</v>
      </c>
    </row>
    <row r="3454" spans="32:34">
      <c r="AF3454" s="367">
        <f t="shared" si="53"/>
        <v>43252</v>
      </c>
      <c r="AG3454" s="368">
        <v>43264</v>
      </c>
      <c r="AH3454" s="370">
        <v>2857.11</v>
      </c>
    </row>
    <row r="3455" spans="32:34">
      <c r="AF3455" s="367">
        <f t="shared" si="53"/>
        <v>43252</v>
      </c>
      <c r="AG3455" s="368">
        <v>43265</v>
      </c>
      <c r="AH3455" s="370">
        <v>2859.17</v>
      </c>
    </row>
    <row r="3456" spans="32:34">
      <c r="AF3456" s="367">
        <f t="shared" si="53"/>
        <v>43252</v>
      </c>
      <c r="AG3456" s="368">
        <v>43266</v>
      </c>
      <c r="AH3456" s="370">
        <v>2859.78</v>
      </c>
    </row>
    <row r="3457" spans="32:34">
      <c r="AF3457" s="367">
        <f t="shared" si="53"/>
        <v>43252</v>
      </c>
      <c r="AG3457" s="368">
        <v>43267</v>
      </c>
      <c r="AH3457" s="370">
        <v>2890.06</v>
      </c>
    </row>
    <row r="3458" spans="32:34">
      <c r="AF3458" s="367">
        <f t="shared" si="53"/>
        <v>43252</v>
      </c>
      <c r="AG3458" s="368">
        <v>43268</v>
      </c>
      <c r="AH3458" s="370">
        <v>2890.06</v>
      </c>
    </row>
    <row r="3459" spans="32:34">
      <c r="AF3459" s="367">
        <f t="shared" si="53"/>
        <v>43252</v>
      </c>
      <c r="AG3459" s="368">
        <v>43269</v>
      </c>
      <c r="AH3459" s="370">
        <v>2890.06</v>
      </c>
    </row>
    <row r="3460" spans="32:34">
      <c r="AF3460" s="367">
        <f t="shared" ref="AF3460:AF3523" si="54">+DATE(YEAR(AG3460),MONTH(AG3460),1)</f>
        <v>43252</v>
      </c>
      <c r="AG3460" s="368">
        <v>43270</v>
      </c>
      <c r="AH3460" s="370">
        <v>2919.14</v>
      </c>
    </row>
    <row r="3461" spans="32:34">
      <c r="AF3461" s="367">
        <f t="shared" si="54"/>
        <v>43252</v>
      </c>
      <c r="AG3461" s="368">
        <v>43271</v>
      </c>
      <c r="AH3461" s="370">
        <v>2931.78</v>
      </c>
    </row>
    <row r="3462" spans="32:34">
      <c r="AF3462" s="367">
        <f t="shared" si="54"/>
        <v>43252</v>
      </c>
      <c r="AG3462" s="368">
        <v>43272</v>
      </c>
      <c r="AH3462" s="370">
        <v>2916.49</v>
      </c>
    </row>
    <row r="3463" spans="32:34">
      <c r="AF3463" s="367">
        <f t="shared" si="54"/>
        <v>43252</v>
      </c>
      <c r="AG3463" s="368">
        <v>43273</v>
      </c>
      <c r="AH3463" s="370">
        <v>2944.82</v>
      </c>
    </row>
    <row r="3464" spans="32:34">
      <c r="AF3464" s="367">
        <f t="shared" si="54"/>
        <v>43252</v>
      </c>
      <c r="AG3464" s="368">
        <v>43274</v>
      </c>
      <c r="AH3464" s="370">
        <v>2918.22</v>
      </c>
    </row>
    <row r="3465" spans="32:34">
      <c r="AF3465" s="367">
        <f t="shared" si="54"/>
        <v>43252</v>
      </c>
      <c r="AG3465" s="368">
        <v>43275</v>
      </c>
      <c r="AH3465" s="370">
        <v>2918.22</v>
      </c>
    </row>
    <row r="3466" spans="32:34">
      <c r="AF3466" s="367">
        <f t="shared" si="54"/>
        <v>43252</v>
      </c>
      <c r="AG3466" s="368">
        <v>43276</v>
      </c>
      <c r="AH3466" s="370">
        <v>2918.22</v>
      </c>
    </row>
    <row r="3467" spans="32:34">
      <c r="AF3467" s="367">
        <f t="shared" si="54"/>
        <v>43252</v>
      </c>
      <c r="AG3467" s="368">
        <v>43277</v>
      </c>
      <c r="AH3467" s="370">
        <v>2927.67</v>
      </c>
    </row>
    <row r="3468" spans="32:34">
      <c r="AF3468" s="367">
        <f t="shared" si="54"/>
        <v>43252</v>
      </c>
      <c r="AG3468" s="368">
        <v>43278</v>
      </c>
      <c r="AH3468" s="370">
        <v>2924.1</v>
      </c>
    </row>
    <row r="3469" spans="32:34">
      <c r="AF3469" s="367">
        <f t="shared" si="54"/>
        <v>43252</v>
      </c>
      <c r="AG3469" s="368">
        <v>43279</v>
      </c>
      <c r="AH3469" s="370">
        <v>2934.91</v>
      </c>
    </row>
    <row r="3470" spans="32:34">
      <c r="AF3470" s="367">
        <f t="shared" si="54"/>
        <v>43252</v>
      </c>
      <c r="AG3470" s="368">
        <v>43280</v>
      </c>
      <c r="AH3470" s="370">
        <v>2945.09</v>
      </c>
    </row>
    <row r="3471" spans="32:34">
      <c r="AF3471" s="367">
        <f t="shared" si="54"/>
        <v>43252</v>
      </c>
      <c r="AG3471" s="368">
        <v>43281</v>
      </c>
      <c r="AH3471" s="370">
        <v>2930.8</v>
      </c>
    </row>
    <row r="3472" spans="32:34">
      <c r="AF3472" s="367">
        <f t="shared" si="54"/>
        <v>43282</v>
      </c>
      <c r="AG3472" s="368">
        <v>43282</v>
      </c>
      <c r="AH3472" s="370">
        <v>2930.8</v>
      </c>
    </row>
    <row r="3473" spans="32:34">
      <c r="AF3473" s="367">
        <f t="shared" si="54"/>
        <v>43282</v>
      </c>
      <c r="AG3473" s="368">
        <v>43283</v>
      </c>
      <c r="AH3473" s="370">
        <v>2930.8</v>
      </c>
    </row>
    <row r="3474" spans="32:34">
      <c r="AF3474" s="367">
        <f t="shared" si="54"/>
        <v>43282</v>
      </c>
      <c r="AG3474" s="368">
        <v>43284</v>
      </c>
      <c r="AH3474" s="370">
        <v>2930.8</v>
      </c>
    </row>
    <row r="3475" spans="32:34">
      <c r="AF3475" s="367">
        <f t="shared" si="54"/>
        <v>43282</v>
      </c>
      <c r="AG3475" s="368">
        <v>43285</v>
      </c>
      <c r="AH3475" s="370">
        <v>2909.83</v>
      </c>
    </row>
    <row r="3476" spans="32:34">
      <c r="AF3476" s="367">
        <f t="shared" si="54"/>
        <v>43282</v>
      </c>
      <c r="AG3476" s="368">
        <v>43286</v>
      </c>
      <c r="AH3476" s="370">
        <v>2909.83</v>
      </c>
    </row>
    <row r="3477" spans="32:34">
      <c r="AF3477" s="367">
        <f t="shared" si="54"/>
        <v>43282</v>
      </c>
      <c r="AG3477" s="368">
        <v>43287</v>
      </c>
      <c r="AH3477" s="370">
        <v>2885.53</v>
      </c>
    </row>
    <row r="3478" spans="32:34">
      <c r="AF3478" s="367">
        <f t="shared" si="54"/>
        <v>43282</v>
      </c>
      <c r="AG3478" s="368">
        <v>43288</v>
      </c>
      <c r="AH3478" s="370">
        <v>2867.94</v>
      </c>
    </row>
    <row r="3479" spans="32:34">
      <c r="AF3479" s="367">
        <f t="shared" si="54"/>
        <v>43282</v>
      </c>
      <c r="AG3479" s="368">
        <v>43289</v>
      </c>
      <c r="AH3479" s="370">
        <v>2867.94</v>
      </c>
    </row>
    <row r="3480" spans="32:34">
      <c r="AF3480" s="367">
        <f t="shared" si="54"/>
        <v>43282</v>
      </c>
      <c r="AG3480" s="368">
        <v>43290</v>
      </c>
      <c r="AH3480" s="370">
        <v>2867.94</v>
      </c>
    </row>
    <row r="3481" spans="32:34">
      <c r="AF3481" s="367">
        <f t="shared" si="54"/>
        <v>43282</v>
      </c>
      <c r="AG3481" s="368">
        <v>43291</v>
      </c>
      <c r="AH3481" s="370">
        <v>2881.09</v>
      </c>
    </row>
    <row r="3482" spans="32:34">
      <c r="AF3482" s="367">
        <f t="shared" si="54"/>
        <v>43282</v>
      </c>
      <c r="AG3482" s="368">
        <v>43292</v>
      </c>
      <c r="AH3482" s="370">
        <v>2872.62</v>
      </c>
    </row>
    <row r="3483" spans="32:34">
      <c r="AF3483" s="367">
        <f t="shared" si="54"/>
        <v>43282</v>
      </c>
      <c r="AG3483" s="368">
        <v>43293</v>
      </c>
      <c r="AH3483" s="370">
        <v>2880.1</v>
      </c>
    </row>
    <row r="3484" spans="32:34">
      <c r="AF3484" s="367">
        <f t="shared" si="54"/>
        <v>43282</v>
      </c>
      <c r="AG3484" s="368">
        <v>43294</v>
      </c>
      <c r="AH3484" s="370">
        <v>2882.02</v>
      </c>
    </row>
    <row r="3485" spans="32:34">
      <c r="AF3485" s="367">
        <f t="shared" si="54"/>
        <v>43282</v>
      </c>
      <c r="AG3485" s="368">
        <v>43295</v>
      </c>
      <c r="AH3485" s="370">
        <v>2861.7</v>
      </c>
    </row>
    <row r="3486" spans="32:34">
      <c r="AF3486" s="367">
        <f t="shared" si="54"/>
        <v>43282</v>
      </c>
      <c r="AG3486" s="368">
        <v>43296</v>
      </c>
      <c r="AH3486" s="370">
        <v>2861.7</v>
      </c>
    </row>
    <row r="3487" spans="32:34">
      <c r="AF3487" s="367">
        <f t="shared" si="54"/>
        <v>43282</v>
      </c>
      <c r="AG3487" s="368">
        <v>43297</v>
      </c>
      <c r="AH3487" s="370">
        <v>2861.7</v>
      </c>
    </row>
    <row r="3488" spans="32:34">
      <c r="AF3488" s="367">
        <f t="shared" si="54"/>
        <v>43282</v>
      </c>
      <c r="AG3488" s="368">
        <v>43298</v>
      </c>
      <c r="AH3488" s="370">
        <v>2868.96</v>
      </c>
    </row>
    <row r="3489" spans="32:34">
      <c r="AF3489" s="367">
        <f t="shared" si="54"/>
        <v>43282</v>
      </c>
      <c r="AG3489" s="368">
        <v>43299</v>
      </c>
      <c r="AH3489" s="370">
        <v>2878.28</v>
      </c>
    </row>
    <row r="3490" spans="32:34">
      <c r="AF3490" s="367">
        <f t="shared" si="54"/>
        <v>43282</v>
      </c>
      <c r="AG3490" s="368">
        <v>43300</v>
      </c>
      <c r="AH3490" s="370">
        <v>2876.93</v>
      </c>
    </row>
    <row r="3491" spans="32:34">
      <c r="AF3491" s="367">
        <f t="shared" si="54"/>
        <v>43282</v>
      </c>
      <c r="AG3491" s="368">
        <v>43301</v>
      </c>
      <c r="AH3491" s="370">
        <v>2883.81</v>
      </c>
    </row>
    <row r="3492" spans="32:34">
      <c r="AF3492" s="367">
        <f t="shared" si="54"/>
        <v>43282</v>
      </c>
      <c r="AG3492" s="368">
        <v>43302</v>
      </c>
      <c r="AH3492" s="370">
        <v>2883.81</v>
      </c>
    </row>
    <row r="3493" spans="32:34">
      <c r="AF3493" s="367">
        <f t="shared" si="54"/>
        <v>43282</v>
      </c>
      <c r="AG3493" s="368">
        <v>43303</v>
      </c>
      <c r="AH3493" s="370">
        <v>2883.81</v>
      </c>
    </row>
    <row r="3494" spans="32:34">
      <c r="AF3494" s="367">
        <f t="shared" si="54"/>
        <v>43282</v>
      </c>
      <c r="AG3494" s="368">
        <v>43304</v>
      </c>
      <c r="AH3494" s="370">
        <v>2883.81</v>
      </c>
    </row>
    <row r="3495" spans="32:34">
      <c r="AF3495" s="367">
        <f t="shared" si="54"/>
        <v>43282</v>
      </c>
      <c r="AG3495" s="368">
        <v>43305</v>
      </c>
      <c r="AH3495" s="370">
        <v>2897.73</v>
      </c>
    </row>
    <row r="3496" spans="32:34">
      <c r="AF3496" s="367">
        <f t="shared" si="54"/>
        <v>43282</v>
      </c>
      <c r="AG3496" s="368">
        <v>43306</v>
      </c>
      <c r="AH3496" s="370">
        <v>2898.36</v>
      </c>
    </row>
    <row r="3497" spans="32:34">
      <c r="AF3497" s="367">
        <f t="shared" si="54"/>
        <v>43282</v>
      </c>
      <c r="AG3497" s="368">
        <v>43307</v>
      </c>
      <c r="AH3497" s="370">
        <v>2882.84</v>
      </c>
    </row>
    <row r="3498" spans="32:34">
      <c r="AF3498" s="367">
        <f t="shared" si="54"/>
        <v>43282</v>
      </c>
      <c r="AG3498" s="368">
        <v>43308</v>
      </c>
      <c r="AH3498" s="370">
        <v>2886.21</v>
      </c>
    </row>
    <row r="3499" spans="32:34">
      <c r="AF3499" s="367">
        <f t="shared" si="54"/>
        <v>43282</v>
      </c>
      <c r="AG3499" s="368">
        <v>43309</v>
      </c>
      <c r="AH3499" s="370">
        <v>2880.79</v>
      </c>
    </row>
    <row r="3500" spans="32:34">
      <c r="AF3500" s="367">
        <f t="shared" si="54"/>
        <v>43282</v>
      </c>
      <c r="AG3500" s="368">
        <v>43310</v>
      </c>
      <c r="AH3500" s="370">
        <v>2880.79</v>
      </c>
    </row>
    <row r="3501" spans="32:34">
      <c r="AF3501" s="367">
        <f t="shared" si="54"/>
        <v>43282</v>
      </c>
      <c r="AG3501" s="368">
        <v>43311</v>
      </c>
      <c r="AH3501" s="370">
        <v>2880.79</v>
      </c>
    </row>
    <row r="3502" spans="32:34">
      <c r="AF3502" s="367">
        <f t="shared" si="54"/>
        <v>43282</v>
      </c>
      <c r="AG3502" s="368">
        <v>43312</v>
      </c>
      <c r="AH3502" s="370">
        <v>2875.72</v>
      </c>
    </row>
    <row r="3503" spans="32:34">
      <c r="AF3503" s="367">
        <f t="shared" si="54"/>
        <v>43313</v>
      </c>
      <c r="AG3503" s="368">
        <v>43313</v>
      </c>
      <c r="AH3503" s="370">
        <v>2886.8</v>
      </c>
    </row>
    <row r="3504" spans="32:34">
      <c r="AF3504" s="367">
        <f t="shared" si="54"/>
        <v>43313</v>
      </c>
      <c r="AG3504" s="368">
        <v>43314</v>
      </c>
      <c r="AH3504" s="370">
        <v>2892.62</v>
      </c>
    </row>
    <row r="3505" spans="32:34">
      <c r="AF3505" s="367">
        <f t="shared" si="54"/>
        <v>43313</v>
      </c>
      <c r="AG3505" s="368">
        <v>43315</v>
      </c>
      <c r="AH3505" s="370">
        <v>2904.9</v>
      </c>
    </row>
    <row r="3506" spans="32:34">
      <c r="AF3506" s="367">
        <f t="shared" si="54"/>
        <v>43313</v>
      </c>
      <c r="AG3506" s="368">
        <v>43316</v>
      </c>
      <c r="AH3506" s="370">
        <v>2898.99</v>
      </c>
    </row>
    <row r="3507" spans="32:34">
      <c r="AF3507" s="367">
        <f t="shared" si="54"/>
        <v>43313</v>
      </c>
      <c r="AG3507" s="368">
        <v>43317</v>
      </c>
      <c r="AH3507" s="370">
        <v>2898.99</v>
      </c>
    </row>
    <row r="3508" spans="32:34">
      <c r="AF3508" s="367">
        <f t="shared" si="54"/>
        <v>43313</v>
      </c>
      <c r="AG3508" s="368">
        <v>43318</v>
      </c>
      <c r="AH3508" s="370">
        <v>2898.99</v>
      </c>
    </row>
    <row r="3509" spans="32:34">
      <c r="AF3509" s="367">
        <f t="shared" si="54"/>
        <v>43313</v>
      </c>
      <c r="AG3509" s="368">
        <v>43319</v>
      </c>
      <c r="AH3509" s="370">
        <v>2898.86</v>
      </c>
    </row>
    <row r="3510" spans="32:34">
      <c r="AF3510" s="367">
        <f t="shared" si="54"/>
        <v>43313</v>
      </c>
      <c r="AG3510" s="368">
        <v>43320</v>
      </c>
      <c r="AH3510" s="370">
        <v>2898.86</v>
      </c>
    </row>
    <row r="3511" spans="32:34">
      <c r="AF3511" s="367">
        <f t="shared" si="54"/>
        <v>43313</v>
      </c>
      <c r="AG3511" s="368">
        <v>43321</v>
      </c>
      <c r="AH3511" s="370">
        <v>2908.9</v>
      </c>
    </row>
    <row r="3512" spans="32:34">
      <c r="AF3512" s="367">
        <f t="shared" si="54"/>
        <v>43313</v>
      </c>
      <c r="AG3512" s="368">
        <v>43322</v>
      </c>
      <c r="AH3512" s="370">
        <v>2919.44</v>
      </c>
    </row>
    <row r="3513" spans="32:34">
      <c r="AF3513" s="367">
        <f t="shared" si="54"/>
        <v>43313</v>
      </c>
      <c r="AG3513" s="368">
        <v>43323</v>
      </c>
      <c r="AH3513" s="370">
        <v>2940.95</v>
      </c>
    </row>
    <row r="3514" spans="32:34">
      <c r="AF3514" s="367">
        <f t="shared" si="54"/>
        <v>43313</v>
      </c>
      <c r="AG3514" s="368">
        <v>43324</v>
      </c>
      <c r="AH3514" s="370">
        <v>2940.95</v>
      </c>
    </row>
    <row r="3515" spans="32:34">
      <c r="AF3515" s="367">
        <f t="shared" si="54"/>
        <v>43313</v>
      </c>
      <c r="AG3515" s="368">
        <v>43325</v>
      </c>
      <c r="AH3515" s="370">
        <v>2940.95</v>
      </c>
    </row>
    <row r="3516" spans="32:34">
      <c r="AF3516" s="367">
        <f t="shared" si="54"/>
        <v>43313</v>
      </c>
      <c r="AG3516" s="368">
        <v>43326</v>
      </c>
      <c r="AH3516" s="370">
        <v>2983.93</v>
      </c>
    </row>
    <row r="3517" spans="32:34">
      <c r="AF3517" s="367">
        <f t="shared" si="54"/>
        <v>43313</v>
      </c>
      <c r="AG3517" s="368">
        <v>43327</v>
      </c>
      <c r="AH3517" s="370">
        <v>3002.66</v>
      </c>
    </row>
    <row r="3518" spans="32:34">
      <c r="AF3518" s="367">
        <f t="shared" si="54"/>
        <v>43313</v>
      </c>
      <c r="AG3518" s="368">
        <v>43328</v>
      </c>
      <c r="AH3518" s="370">
        <v>3046.76</v>
      </c>
    </row>
    <row r="3519" spans="32:34">
      <c r="AF3519" s="367">
        <f t="shared" si="54"/>
        <v>43313</v>
      </c>
      <c r="AG3519" s="368">
        <v>43329</v>
      </c>
      <c r="AH3519" s="370">
        <v>3019.55</v>
      </c>
    </row>
    <row r="3520" spans="32:34">
      <c r="AF3520" s="367">
        <f t="shared" si="54"/>
        <v>43313</v>
      </c>
      <c r="AG3520" s="368">
        <v>43330</v>
      </c>
      <c r="AH3520" s="370">
        <v>3024.02</v>
      </c>
    </row>
    <row r="3521" spans="32:34">
      <c r="AF3521" s="367">
        <f t="shared" si="54"/>
        <v>43313</v>
      </c>
      <c r="AG3521" s="368">
        <v>43331</v>
      </c>
      <c r="AH3521" s="370">
        <v>3024.02</v>
      </c>
    </row>
    <row r="3522" spans="32:34">
      <c r="AF3522" s="367">
        <f t="shared" si="54"/>
        <v>43313</v>
      </c>
      <c r="AG3522" s="368">
        <v>43332</v>
      </c>
      <c r="AH3522" s="370">
        <v>3024.02</v>
      </c>
    </row>
    <row r="3523" spans="32:34">
      <c r="AF3523" s="367">
        <f t="shared" si="54"/>
        <v>43313</v>
      </c>
      <c r="AG3523" s="368">
        <v>43333</v>
      </c>
      <c r="AH3523" s="370">
        <v>3024.02</v>
      </c>
    </row>
    <row r="3524" spans="32:34">
      <c r="AF3524" s="367">
        <f t="shared" ref="AF3524:AF3587" si="55">+DATE(YEAR(AG3524),MONTH(AG3524),1)</f>
        <v>43313</v>
      </c>
      <c r="AG3524" s="368">
        <v>43334</v>
      </c>
      <c r="AH3524" s="370">
        <v>2990.78</v>
      </c>
    </row>
    <row r="3525" spans="32:34">
      <c r="AF3525" s="367">
        <f t="shared" si="55"/>
        <v>43313</v>
      </c>
      <c r="AG3525" s="368">
        <v>43335</v>
      </c>
      <c r="AH3525" s="370">
        <v>2965.45</v>
      </c>
    </row>
    <row r="3526" spans="32:34">
      <c r="AF3526" s="367">
        <f t="shared" si="55"/>
        <v>43313</v>
      </c>
      <c r="AG3526" s="368">
        <v>43336</v>
      </c>
      <c r="AH3526" s="370">
        <v>2980.64</v>
      </c>
    </row>
    <row r="3527" spans="32:34">
      <c r="AF3527" s="367">
        <f t="shared" si="55"/>
        <v>43313</v>
      </c>
      <c r="AG3527" s="368">
        <v>43337</v>
      </c>
      <c r="AH3527" s="370">
        <v>2958.45</v>
      </c>
    </row>
    <row r="3528" spans="32:34">
      <c r="AF3528" s="367">
        <f t="shared" si="55"/>
        <v>43313</v>
      </c>
      <c r="AG3528" s="368">
        <v>43338</v>
      </c>
      <c r="AH3528" s="370">
        <v>2958.45</v>
      </c>
    </row>
    <row r="3529" spans="32:34">
      <c r="AF3529" s="367">
        <f t="shared" si="55"/>
        <v>43313</v>
      </c>
      <c r="AG3529" s="368">
        <v>43339</v>
      </c>
      <c r="AH3529" s="370">
        <v>2958.45</v>
      </c>
    </row>
    <row r="3530" spans="32:34">
      <c r="AF3530" s="367">
        <f t="shared" si="55"/>
        <v>43313</v>
      </c>
      <c r="AG3530" s="368">
        <v>43340</v>
      </c>
      <c r="AH3530" s="370">
        <v>2934.31</v>
      </c>
    </row>
    <row r="3531" spans="32:34">
      <c r="AF3531" s="367">
        <f t="shared" si="55"/>
        <v>43313</v>
      </c>
      <c r="AG3531" s="368">
        <v>43341</v>
      </c>
      <c r="AH3531" s="370">
        <v>2966</v>
      </c>
    </row>
    <row r="3532" spans="32:34">
      <c r="AF3532" s="367">
        <f t="shared" si="55"/>
        <v>43313</v>
      </c>
      <c r="AG3532" s="368">
        <v>43342</v>
      </c>
      <c r="AH3532" s="370">
        <v>2999.57</v>
      </c>
    </row>
    <row r="3533" spans="32:34">
      <c r="AF3533" s="367">
        <f t="shared" si="55"/>
        <v>43313</v>
      </c>
      <c r="AG3533" s="368">
        <v>43343</v>
      </c>
      <c r="AH3533" s="370">
        <v>3027.39</v>
      </c>
    </row>
    <row r="3534" spans="32:34">
      <c r="AF3534" s="367">
        <f t="shared" si="55"/>
        <v>43344</v>
      </c>
      <c r="AG3534" s="368">
        <v>43344</v>
      </c>
      <c r="AH3534" s="370">
        <v>3053.14</v>
      </c>
    </row>
    <row r="3535" spans="32:34">
      <c r="AF3535" s="367">
        <f t="shared" si="55"/>
        <v>43344</v>
      </c>
      <c r="AG3535" s="368">
        <v>43345</v>
      </c>
      <c r="AH3535" s="370">
        <v>3053.14</v>
      </c>
    </row>
    <row r="3536" spans="32:34">
      <c r="AF3536" s="367">
        <f t="shared" si="55"/>
        <v>43344</v>
      </c>
      <c r="AG3536" s="368">
        <v>43346</v>
      </c>
      <c r="AH3536" s="370">
        <v>3053.14</v>
      </c>
    </row>
    <row r="3537" spans="32:34">
      <c r="AF3537" s="367">
        <f t="shared" si="55"/>
        <v>43344</v>
      </c>
      <c r="AG3537" s="368">
        <v>43347</v>
      </c>
      <c r="AH3537" s="370">
        <v>3053.14</v>
      </c>
    </row>
    <row r="3538" spans="32:34">
      <c r="AF3538" s="367">
        <f t="shared" si="55"/>
        <v>43344</v>
      </c>
      <c r="AG3538" s="368">
        <v>43348</v>
      </c>
      <c r="AH3538" s="370">
        <v>3088.47</v>
      </c>
    </row>
    <row r="3539" spans="32:34">
      <c r="AF3539" s="367">
        <f t="shared" si="55"/>
        <v>43344</v>
      </c>
      <c r="AG3539" s="368">
        <v>43349</v>
      </c>
      <c r="AH3539" s="370">
        <v>3100.37</v>
      </c>
    </row>
    <row r="3540" spans="32:34">
      <c r="AF3540" s="367">
        <f t="shared" si="55"/>
        <v>43344</v>
      </c>
      <c r="AG3540" s="368">
        <v>43350</v>
      </c>
      <c r="AH3540" s="370">
        <v>3089.47</v>
      </c>
    </row>
    <row r="3541" spans="32:34">
      <c r="AF3541" s="367">
        <f t="shared" si="55"/>
        <v>43344</v>
      </c>
      <c r="AG3541" s="368">
        <v>43351</v>
      </c>
      <c r="AH3541" s="370">
        <v>3070.15</v>
      </c>
    </row>
    <row r="3542" spans="32:34">
      <c r="AF3542" s="367">
        <f t="shared" si="55"/>
        <v>43344</v>
      </c>
      <c r="AG3542" s="368">
        <v>43352</v>
      </c>
      <c r="AH3542" s="370">
        <v>3070.15</v>
      </c>
    </row>
    <row r="3543" spans="32:34">
      <c r="AF3543" s="367">
        <f t="shared" si="55"/>
        <v>43344</v>
      </c>
      <c r="AG3543" s="368">
        <v>43353</v>
      </c>
      <c r="AH3543" s="370">
        <v>3070.15</v>
      </c>
    </row>
    <row r="3544" spans="32:34">
      <c r="AF3544" s="367">
        <f t="shared" si="55"/>
        <v>43344</v>
      </c>
      <c r="AG3544" s="368">
        <v>43354</v>
      </c>
      <c r="AH3544" s="370">
        <v>3069.49</v>
      </c>
    </row>
    <row r="3545" spans="32:34">
      <c r="AF3545" s="367">
        <f t="shared" si="55"/>
        <v>43344</v>
      </c>
      <c r="AG3545" s="368">
        <v>43355</v>
      </c>
      <c r="AH3545" s="370">
        <v>3087.73</v>
      </c>
    </row>
    <row r="3546" spans="32:34">
      <c r="AF3546" s="367">
        <f t="shared" si="55"/>
        <v>43344</v>
      </c>
      <c r="AG3546" s="368">
        <v>43356</v>
      </c>
      <c r="AH3546" s="370">
        <v>3055.01</v>
      </c>
    </row>
    <row r="3547" spans="32:34">
      <c r="AF3547" s="367">
        <f t="shared" si="55"/>
        <v>43344</v>
      </c>
      <c r="AG3547" s="368">
        <v>43357</v>
      </c>
      <c r="AH3547" s="370">
        <v>3019.38</v>
      </c>
    </row>
    <row r="3548" spans="32:34">
      <c r="AF3548" s="367">
        <f t="shared" si="55"/>
        <v>43344</v>
      </c>
      <c r="AG3548" s="368">
        <v>43358</v>
      </c>
      <c r="AH3548" s="370">
        <v>3026.05</v>
      </c>
    </row>
    <row r="3549" spans="32:34">
      <c r="AF3549" s="367">
        <f t="shared" si="55"/>
        <v>43344</v>
      </c>
      <c r="AG3549" s="368">
        <v>43359</v>
      </c>
      <c r="AH3549" s="370">
        <v>3026.05</v>
      </c>
    </row>
    <row r="3550" spans="32:34">
      <c r="AF3550" s="367">
        <f t="shared" si="55"/>
        <v>43344</v>
      </c>
      <c r="AG3550" s="368">
        <v>43360</v>
      </c>
      <c r="AH3550" s="370">
        <v>3026.05</v>
      </c>
    </row>
    <row r="3551" spans="32:34">
      <c r="AF3551" s="367">
        <f t="shared" si="55"/>
        <v>43344</v>
      </c>
      <c r="AG3551" s="368">
        <v>43361</v>
      </c>
      <c r="AH3551" s="370">
        <v>3013.38</v>
      </c>
    </row>
    <row r="3552" spans="32:34">
      <c r="AF3552" s="367">
        <f t="shared" si="55"/>
        <v>43344</v>
      </c>
      <c r="AG3552" s="368">
        <v>43362</v>
      </c>
      <c r="AH3552" s="370">
        <v>3007.03</v>
      </c>
    </row>
    <row r="3553" spans="32:34">
      <c r="AF3553" s="367">
        <f t="shared" si="55"/>
        <v>43344</v>
      </c>
      <c r="AG3553" s="368">
        <v>43363</v>
      </c>
      <c r="AH3553" s="370">
        <v>3018.63</v>
      </c>
    </row>
    <row r="3554" spans="32:34">
      <c r="AF3554" s="367">
        <f t="shared" si="55"/>
        <v>43344</v>
      </c>
      <c r="AG3554" s="368">
        <v>43364</v>
      </c>
      <c r="AH3554" s="370">
        <v>3014.18</v>
      </c>
    </row>
    <row r="3555" spans="32:34">
      <c r="AF3555" s="367">
        <f t="shared" si="55"/>
        <v>43344</v>
      </c>
      <c r="AG3555" s="368">
        <v>43365</v>
      </c>
      <c r="AH3555" s="370">
        <v>3006.96</v>
      </c>
    </row>
    <row r="3556" spans="32:34">
      <c r="AF3556" s="367">
        <f t="shared" si="55"/>
        <v>43344</v>
      </c>
      <c r="AG3556" s="368">
        <v>43366</v>
      </c>
      <c r="AH3556" s="370">
        <v>3006.96</v>
      </c>
    </row>
    <row r="3557" spans="32:34">
      <c r="AF3557" s="367">
        <f t="shared" si="55"/>
        <v>43344</v>
      </c>
      <c r="AG3557" s="368">
        <v>43367</v>
      </c>
      <c r="AH3557" s="370">
        <v>3006.96</v>
      </c>
    </row>
    <row r="3558" spans="32:34">
      <c r="AF3558" s="367">
        <f t="shared" si="55"/>
        <v>43344</v>
      </c>
      <c r="AG3558" s="368">
        <v>43368</v>
      </c>
      <c r="AH3558" s="370">
        <v>2991.9</v>
      </c>
    </row>
    <row r="3559" spans="32:34">
      <c r="AF3559" s="367">
        <f t="shared" si="55"/>
        <v>43344</v>
      </c>
      <c r="AG3559" s="368">
        <v>43369</v>
      </c>
      <c r="AH3559" s="370">
        <v>3001.88</v>
      </c>
    </row>
    <row r="3560" spans="32:34">
      <c r="AF3560" s="367">
        <f t="shared" si="55"/>
        <v>43344</v>
      </c>
      <c r="AG3560" s="368">
        <v>43370</v>
      </c>
      <c r="AH3560" s="370">
        <v>3000.14</v>
      </c>
    </row>
    <row r="3561" spans="32:34">
      <c r="AF3561" s="367">
        <f t="shared" si="55"/>
        <v>43344</v>
      </c>
      <c r="AG3561" s="368">
        <v>43371</v>
      </c>
      <c r="AH3561" s="370">
        <v>2989.58</v>
      </c>
    </row>
    <row r="3562" spans="32:34">
      <c r="AF3562" s="367">
        <f t="shared" si="55"/>
        <v>43344</v>
      </c>
      <c r="AG3562" s="368">
        <v>43372</v>
      </c>
      <c r="AH3562" s="370">
        <v>2972.18</v>
      </c>
    </row>
    <row r="3563" spans="32:34">
      <c r="AF3563" s="367">
        <f t="shared" si="55"/>
        <v>43344</v>
      </c>
      <c r="AG3563" s="368">
        <v>43373</v>
      </c>
      <c r="AH3563" s="370">
        <v>2972.18</v>
      </c>
    </row>
    <row r="3564" spans="32:34">
      <c r="AF3564" s="367">
        <f t="shared" si="55"/>
        <v>43374</v>
      </c>
      <c r="AG3564" s="368">
        <v>43374</v>
      </c>
      <c r="AH3564" s="370">
        <v>2972.18</v>
      </c>
    </row>
    <row r="3565" spans="32:34">
      <c r="AF3565" s="367">
        <f t="shared" si="55"/>
        <v>43374</v>
      </c>
      <c r="AG3565" s="368">
        <v>43375</v>
      </c>
      <c r="AH3565" s="370">
        <v>2993.74</v>
      </c>
    </row>
    <row r="3566" spans="32:34">
      <c r="AF3566" s="367">
        <f t="shared" si="55"/>
        <v>43374</v>
      </c>
      <c r="AG3566" s="368">
        <v>43376</v>
      </c>
      <c r="AH3566" s="370">
        <v>3005.5</v>
      </c>
    </row>
    <row r="3567" spans="32:34">
      <c r="AF3567" s="367">
        <f t="shared" si="55"/>
        <v>43374</v>
      </c>
      <c r="AG3567" s="368">
        <v>43377</v>
      </c>
      <c r="AH3567" s="370">
        <v>3012.65</v>
      </c>
    </row>
    <row r="3568" spans="32:34">
      <c r="AF3568" s="367">
        <f t="shared" si="55"/>
        <v>43374</v>
      </c>
      <c r="AG3568" s="368">
        <v>43378</v>
      </c>
      <c r="AH3568" s="370">
        <v>3028.16</v>
      </c>
    </row>
    <row r="3569" spans="32:34">
      <c r="AF3569" s="367">
        <f t="shared" si="55"/>
        <v>43374</v>
      </c>
      <c r="AG3569" s="368">
        <v>43379</v>
      </c>
      <c r="AH3569" s="370">
        <v>3031.31</v>
      </c>
    </row>
    <row r="3570" spans="32:34">
      <c r="AF3570" s="367">
        <f t="shared" si="55"/>
        <v>43374</v>
      </c>
      <c r="AG3570" s="368">
        <v>43380</v>
      </c>
      <c r="AH3570" s="370">
        <v>3031.31</v>
      </c>
    </row>
    <row r="3571" spans="32:34">
      <c r="AF3571" s="367">
        <f t="shared" si="55"/>
        <v>43374</v>
      </c>
      <c r="AG3571" s="368">
        <v>43381</v>
      </c>
      <c r="AH3571" s="370">
        <v>3031.31</v>
      </c>
    </row>
    <row r="3572" spans="32:34">
      <c r="AF3572" s="367">
        <f t="shared" si="55"/>
        <v>43374</v>
      </c>
      <c r="AG3572" s="368">
        <v>43382</v>
      </c>
      <c r="AH3572" s="370">
        <v>3031.31</v>
      </c>
    </row>
    <row r="3573" spans="32:34">
      <c r="AF3573" s="367">
        <f t="shared" si="55"/>
        <v>43374</v>
      </c>
      <c r="AG3573" s="368">
        <v>43383</v>
      </c>
      <c r="AH3573" s="370">
        <v>3057.55</v>
      </c>
    </row>
    <row r="3574" spans="32:34">
      <c r="AF3574" s="367">
        <f t="shared" si="55"/>
        <v>43374</v>
      </c>
      <c r="AG3574" s="368">
        <v>43384</v>
      </c>
      <c r="AH3574" s="370">
        <v>3090.3</v>
      </c>
    </row>
    <row r="3575" spans="32:34">
      <c r="AF3575" s="367">
        <f t="shared" si="55"/>
        <v>43374</v>
      </c>
      <c r="AG3575" s="368">
        <v>43385</v>
      </c>
      <c r="AH3575" s="370">
        <v>3087.34</v>
      </c>
    </row>
    <row r="3576" spans="32:34">
      <c r="AF3576" s="367">
        <f t="shared" si="55"/>
        <v>43374</v>
      </c>
      <c r="AG3576" s="368">
        <v>43386</v>
      </c>
      <c r="AH3576" s="370">
        <v>3088.78</v>
      </c>
    </row>
    <row r="3577" spans="32:34">
      <c r="AF3577" s="367">
        <f t="shared" si="55"/>
        <v>43374</v>
      </c>
      <c r="AG3577" s="368">
        <v>43387</v>
      </c>
      <c r="AH3577" s="370">
        <v>3088.78</v>
      </c>
    </row>
    <row r="3578" spans="32:34">
      <c r="AF3578" s="367">
        <f t="shared" si="55"/>
        <v>43374</v>
      </c>
      <c r="AG3578" s="368">
        <v>43388</v>
      </c>
      <c r="AH3578" s="370">
        <v>3088.78</v>
      </c>
    </row>
    <row r="3579" spans="32:34">
      <c r="AF3579" s="367">
        <f t="shared" si="55"/>
        <v>43374</v>
      </c>
      <c r="AG3579" s="368">
        <v>43389</v>
      </c>
      <c r="AH3579" s="370">
        <v>3088.78</v>
      </c>
    </row>
    <row r="3580" spans="32:34">
      <c r="AF3580" s="367">
        <f t="shared" si="55"/>
        <v>43374</v>
      </c>
      <c r="AG3580" s="368">
        <v>43390</v>
      </c>
      <c r="AH3580" s="370">
        <v>3055.93</v>
      </c>
    </row>
    <row r="3581" spans="32:34">
      <c r="AF3581" s="367">
        <f t="shared" si="55"/>
        <v>43374</v>
      </c>
      <c r="AG3581" s="368">
        <v>43391</v>
      </c>
      <c r="AH3581" s="370">
        <v>3056.37</v>
      </c>
    </row>
    <row r="3582" spans="32:34">
      <c r="AF3582" s="367">
        <f t="shared" si="55"/>
        <v>43374</v>
      </c>
      <c r="AG3582" s="368">
        <v>43392</v>
      </c>
      <c r="AH3582" s="370">
        <v>3088.47</v>
      </c>
    </row>
    <row r="3583" spans="32:34">
      <c r="AF3583" s="367">
        <f t="shared" si="55"/>
        <v>43374</v>
      </c>
      <c r="AG3583" s="368">
        <v>43393</v>
      </c>
      <c r="AH3583" s="370">
        <v>3079.88</v>
      </c>
    </row>
    <row r="3584" spans="32:34">
      <c r="AF3584" s="367">
        <f t="shared" si="55"/>
        <v>43374</v>
      </c>
      <c r="AG3584" s="368">
        <v>43394</v>
      </c>
      <c r="AH3584" s="370">
        <v>3079.88</v>
      </c>
    </row>
    <row r="3585" spans="32:34">
      <c r="AF3585" s="367">
        <f t="shared" si="55"/>
        <v>43374</v>
      </c>
      <c r="AG3585" s="368">
        <v>43395</v>
      </c>
      <c r="AH3585" s="370">
        <v>3079.88</v>
      </c>
    </row>
    <row r="3586" spans="32:34">
      <c r="AF3586" s="367">
        <f t="shared" si="55"/>
        <v>43374</v>
      </c>
      <c r="AG3586" s="368">
        <v>43396</v>
      </c>
      <c r="AH3586" s="370">
        <v>3087.58</v>
      </c>
    </row>
    <row r="3587" spans="32:34">
      <c r="AF3587" s="367">
        <f t="shared" si="55"/>
        <v>43374</v>
      </c>
      <c r="AG3587" s="368">
        <v>43397</v>
      </c>
      <c r="AH3587" s="370">
        <v>3110.2</v>
      </c>
    </row>
    <row r="3588" spans="32:34">
      <c r="AF3588" s="367">
        <f t="shared" ref="AF3588:AF3651" si="56">+DATE(YEAR(AG3588),MONTH(AG3588),1)</f>
        <v>43374</v>
      </c>
      <c r="AG3588" s="368">
        <v>43398</v>
      </c>
      <c r="AH3588" s="370">
        <v>3149.7</v>
      </c>
    </row>
    <row r="3589" spans="32:34">
      <c r="AF3589" s="367">
        <f t="shared" si="56"/>
        <v>43374</v>
      </c>
      <c r="AG3589" s="368">
        <v>43399</v>
      </c>
      <c r="AH3589" s="370">
        <v>3167.18</v>
      </c>
    </row>
    <row r="3590" spans="32:34">
      <c r="AF3590" s="367">
        <f t="shared" si="56"/>
        <v>43374</v>
      </c>
      <c r="AG3590" s="368">
        <v>43400</v>
      </c>
      <c r="AH3590" s="370">
        <v>3185.26</v>
      </c>
    </row>
    <row r="3591" spans="32:34">
      <c r="AF3591" s="367">
        <f t="shared" si="56"/>
        <v>43374</v>
      </c>
      <c r="AG3591" s="368">
        <v>43401</v>
      </c>
      <c r="AH3591" s="370">
        <v>3185.26</v>
      </c>
    </row>
    <row r="3592" spans="32:34">
      <c r="AF3592" s="367">
        <f t="shared" si="56"/>
        <v>43374</v>
      </c>
      <c r="AG3592" s="368">
        <v>43402</v>
      </c>
      <c r="AH3592" s="370">
        <v>3185.26</v>
      </c>
    </row>
    <row r="3593" spans="32:34">
      <c r="AF3593" s="367">
        <f t="shared" si="56"/>
        <v>43374</v>
      </c>
      <c r="AG3593" s="368">
        <v>43403</v>
      </c>
      <c r="AH3593" s="370">
        <v>3188.69</v>
      </c>
    </row>
    <row r="3594" spans="32:34">
      <c r="AF3594" s="367">
        <f t="shared" si="56"/>
        <v>43374</v>
      </c>
      <c r="AG3594" s="368">
        <v>43404</v>
      </c>
      <c r="AH3594" s="370">
        <v>3202.44</v>
      </c>
    </row>
    <row r="3595" spans="32:34">
      <c r="AF3595" s="367">
        <f t="shared" si="56"/>
        <v>43405</v>
      </c>
      <c r="AG3595" s="368">
        <v>43405</v>
      </c>
      <c r="AH3595" s="370">
        <v>3219.85</v>
      </c>
    </row>
    <row r="3596" spans="32:34">
      <c r="AF3596" s="367">
        <f t="shared" si="56"/>
        <v>43405</v>
      </c>
      <c r="AG3596" s="368">
        <v>43406</v>
      </c>
      <c r="AH3596" s="370">
        <v>3193.8</v>
      </c>
    </row>
    <row r="3597" spans="32:34">
      <c r="AF3597" s="367">
        <f t="shared" si="56"/>
        <v>43405</v>
      </c>
      <c r="AG3597" s="368">
        <v>43407</v>
      </c>
      <c r="AH3597" s="370">
        <v>3177.57</v>
      </c>
    </row>
    <row r="3598" spans="32:34">
      <c r="AF3598" s="367">
        <f t="shared" si="56"/>
        <v>43405</v>
      </c>
      <c r="AG3598" s="368">
        <v>43408</v>
      </c>
      <c r="AH3598" s="370">
        <v>3177.57</v>
      </c>
    </row>
    <row r="3599" spans="32:34">
      <c r="AF3599" s="367">
        <f t="shared" si="56"/>
        <v>43405</v>
      </c>
      <c r="AG3599" s="368">
        <v>43409</v>
      </c>
      <c r="AH3599" s="370">
        <v>3177.57</v>
      </c>
    </row>
    <row r="3600" spans="32:34">
      <c r="AF3600" s="367">
        <f t="shared" si="56"/>
        <v>43405</v>
      </c>
      <c r="AG3600" s="368">
        <v>43410</v>
      </c>
      <c r="AH3600" s="370">
        <v>3177.57</v>
      </c>
    </row>
    <row r="3601" spans="32:34">
      <c r="AF3601" s="367">
        <f t="shared" si="56"/>
        <v>43405</v>
      </c>
      <c r="AG3601" s="368">
        <v>43411</v>
      </c>
      <c r="AH3601" s="370">
        <v>3154.55</v>
      </c>
    </row>
    <row r="3602" spans="32:34">
      <c r="AF3602" s="367">
        <f t="shared" si="56"/>
        <v>43405</v>
      </c>
      <c r="AG3602" s="368">
        <v>43412</v>
      </c>
      <c r="AH3602" s="370">
        <v>3140.25</v>
      </c>
    </row>
    <row r="3603" spans="32:34">
      <c r="AF3603" s="367">
        <f t="shared" si="56"/>
        <v>43405</v>
      </c>
      <c r="AG3603" s="368">
        <v>43413</v>
      </c>
      <c r="AH3603" s="370">
        <v>3145.39</v>
      </c>
    </row>
    <row r="3604" spans="32:34">
      <c r="AF3604" s="367">
        <f t="shared" si="56"/>
        <v>43405</v>
      </c>
      <c r="AG3604" s="368">
        <v>43414</v>
      </c>
      <c r="AH3604" s="370">
        <v>3176.89</v>
      </c>
    </row>
    <row r="3605" spans="32:34">
      <c r="AF3605" s="367">
        <f t="shared" si="56"/>
        <v>43405</v>
      </c>
      <c r="AG3605" s="368">
        <v>43415</v>
      </c>
      <c r="AH3605" s="370">
        <v>3176.89</v>
      </c>
    </row>
    <row r="3606" spans="32:34">
      <c r="AF3606" s="367">
        <f t="shared" si="56"/>
        <v>43405</v>
      </c>
      <c r="AG3606" s="368">
        <v>43416</v>
      </c>
      <c r="AH3606" s="370">
        <v>3176.89</v>
      </c>
    </row>
    <row r="3607" spans="32:34">
      <c r="AF3607" s="367">
        <f t="shared" si="56"/>
        <v>43405</v>
      </c>
      <c r="AG3607" s="368">
        <v>43417</v>
      </c>
      <c r="AH3607" s="370">
        <v>3176.89</v>
      </c>
    </row>
    <row r="3608" spans="32:34">
      <c r="AF3608" s="367">
        <f t="shared" si="56"/>
        <v>43405</v>
      </c>
      <c r="AG3608" s="368">
        <v>43418</v>
      </c>
      <c r="AH3608" s="370">
        <v>3197.2</v>
      </c>
    </row>
    <row r="3609" spans="32:34">
      <c r="AF3609" s="367">
        <f t="shared" si="56"/>
        <v>43405</v>
      </c>
      <c r="AG3609" s="368">
        <v>43419</v>
      </c>
      <c r="AH3609" s="370">
        <v>3194.7</v>
      </c>
    </row>
    <row r="3610" spans="32:34">
      <c r="AF3610" s="367">
        <f t="shared" si="56"/>
        <v>43405</v>
      </c>
      <c r="AG3610" s="368">
        <v>43420</v>
      </c>
      <c r="AH3610" s="370">
        <v>3198.29</v>
      </c>
    </row>
    <row r="3611" spans="32:34">
      <c r="AF3611" s="367">
        <f t="shared" si="56"/>
        <v>43405</v>
      </c>
      <c r="AG3611" s="368">
        <v>43421</v>
      </c>
      <c r="AH3611" s="370">
        <v>3173.59</v>
      </c>
    </row>
    <row r="3612" spans="32:34">
      <c r="AF3612" s="367">
        <f t="shared" si="56"/>
        <v>43405</v>
      </c>
      <c r="AG3612" s="368">
        <v>43422</v>
      </c>
      <c r="AH3612" s="370">
        <v>3173.59</v>
      </c>
    </row>
    <row r="3613" spans="32:34">
      <c r="AF3613" s="367">
        <f t="shared" si="56"/>
        <v>43405</v>
      </c>
      <c r="AG3613" s="368">
        <v>43423</v>
      </c>
      <c r="AH3613" s="370">
        <v>3173.59</v>
      </c>
    </row>
    <row r="3614" spans="32:34">
      <c r="AF3614" s="367">
        <f t="shared" si="56"/>
        <v>43405</v>
      </c>
      <c r="AG3614" s="368">
        <v>43424</v>
      </c>
      <c r="AH3614" s="370">
        <v>3178.81</v>
      </c>
    </row>
    <row r="3615" spans="32:34">
      <c r="AF3615" s="367">
        <f t="shared" si="56"/>
        <v>43405</v>
      </c>
      <c r="AG3615" s="368">
        <v>43425</v>
      </c>
      <c r="AH3615" s="370">
        <v>3189.51</v>
      </c>
    </row>
    <row r="3616" spans="32:34">
      <c r="AF3616" s="367">
        <f t="shared" si="56"/>
        <v>43405</v>
      </c>
      <c r="AG3616" s="368">
        <v>43426</v>
      </c>
      <c r="AH3616" s="370">
        <v>3196.26</v>
      </c>
    </row>
    <row r="3617" spans="32:34">
      <c r="AF3617" s="367">
        <f t="shared" si="56"/>
        <v>43405</v>
      </c>
      <c r="AG3617" s="368">
        <v>43427</v>
      </c>
      <c r="AH3617" s="370">
        <v>3196.26</v>
      </c>
    </row>
    <row r="3618" spans="32:34">
      <c r="AF3618" s="367">
        <f t="shared" si="56"/>
        <v>43405</v>
      </c>
      <c r="AG3618" s="368">
        <v>43428</v>
      </c>
      <c r="AH3618" s="370">
        <v>3223.95</v>
      </c>
    </row>
    <row r="3619" spans="32:34">
      <c r="AF3619" s="367">
        <f t="shared" si="56"/>
        <v>43405</v>
      </c>
      <c r="AG3619" s="368">
        <v>43429</v>
      </c>
      <c r="AH3619" s="370">
        <v>3223.95</v>
      </c>
    </row>
    <row r="3620" spans="32:34">
      <c r="AF3620" s="367">
        <f t="shared" si="56"/>
        <v>43405</v>
      </c>
      <c r="AG3620" s="368">
        <v>43430</v>
      </c>
      <c r="AH3620" s="370">
        <v>3223.95</v>
      </c>
    </row>
    <row r="3621" spans="32:34">
      <c r="AF3621" s="367">
        <f t="shared" si="56"/>
        <v>43405</v>
      </c>
      <c r="AG3621" s="368">
        <v>43431</v>
      </c>
      <c r="AH3621" s="370">
        <v>3240.65</v>
      </c>
    </row>
    <row r="3622" spans="32:34">
      <c r="AF3622" s="367">
        <f t="shared" si="56"/>
        <v>43405</v>
      </c>
      <c r="AG3622" s="368">
        <v>43432</v>
      </c>
      <c r="AH3622" s="370">
        <v>3250.56</v>
      </c>
    </row>
    <row r="3623" spans="32:34">
      <c r="AF3623" s="367">
        <f t="shared" si="56"/>
        <v>43405</v>
      </c>
      <c r="AG3623" s="368">
        <v>43433</v>
      </c>
      <c r="AH3623" s="370">
        <v>3274.47</v>
      </c>
    </row>
    <row r="3624" spans="32:34">
      <c r="AF3624" s="367">
        <f t="shared" si="56"/>
        <v>43405</v>
      </c>
      <c r="AG3624" s="368">
        <v>43434</v>
      </c>
      <c r="AH3624" s="370">
        <v>3240.02</v>
      </c>
    </row>
    <row r="3625" spans="32:34">
      <c r="AF3625" s="367">
        <f t="shared" si="56"/>
        <v>43435</v>
      </c>
      <c r="AG3625" s="368">
        <v>43435</v>
      </c>
      <c r="AH3625" s="370">
        <v>3235.27</v>
      </c>
    </row>
    <row r="3626" spans="32:34">
      <c r="AF3626" s="367">
        <f t="shared" si="56"/>
        <v>43435</v>
      </c>
      <c r="AG3626" s="368">
        <v>43436</v>
      </c>
      <c r="AH3626" s="370">
        <v>3235.27</v>
      </c>
    </row>
    <row r="3627" spans="32:34">
      <c r="AF3627" s="367">
        <f t="shared" si="56"/>
        <v>43435</v>
      </c>
      <c r="AG3627" s="368">
        <v>43437</v>
      </c>
      <c r="AH3627" s="370">
        <v>3235.27</v>
      </c>
    </row>
    <row r="3628" spans="32:34">
      <c r="AF3628" s="367">
        <f t="shared" si="56"/>
        <v>43435</v>
      </c>
      <c r="AG3628" s="368">
        <v>43438</v>
      </c>
      <c r="AH3628" s="370">
        <v>3196.15</v>
      </c>
    </row>
    <row r="3629" spans="32:34">
      <c r="AF3629" s="367">
        <f t="shared" si="56"/>
        <v>43435</v>
      </c>
      <c r="AG3629" s="368">
        <v>43439</v>
      </c>
      <c r="AH3629" s="370">
        <v>3174.11</v>
      </c>
    </row>
    <row r="3630" spans="32:34">
      <c r="AF3630" s="367">
        <f t="shared" si="56"/>
        <v>43435</v>
      </c>
      <c r="AG3630" s="368">
        <v>43440</v>
      </c>
      <c r="AH3630" s="370">
        <v>3162.29</v>
      </c>
    </row>
    <row r="3631" spans="32:34">
      <c r="AF3631" s="367">
        <f t="shared" si="56"/>
        <v>43435</v>
      </c>
      <c r="AG3631" s="368">
        <v>43441</v>
      </c>
      <c r="AH3631" s="370">
        <v>3187.86</v>
      </c>
    </row>
    <row r="3632" spans="32:34">
      <c r="AF3632" s="367">
        <f t="shared" si="56"/>
        <v>43435</v>
      </c>
      <c r="AG3632" s="368">
        <v>43442</v>
      </c>
      <c r="AH3632" s="370">
        <v>3153.29</v>
      </c>
    </row>
    <row r="3633" spans="32:34">
      <c r="AF3633" s="367">
        <f t="shared" si="56"/>
        <v>43435</v>
      </c>
      <c r="AG3633" s="368">
        <v>43443</v>
      </c>
      <c r="AH3633" s="370">
        <v>3153.29</v>
      </c>
    </row>
    <row r="3634" spans="32:34">
      <c r="AF3634" s="367">
        <f t="shared" si="56"/>
        <v>43435</v>
      </c>
      <c r="AG3634" s="368">
        <v>43444</v>
      </c>
      <c r="AH3634" s="370">
        <v>3153.29</v>
      </c>
    </row>
    <row r="3635" spans="32:34">
      <c r="AF3635" s="367">
        <f t="shared" si="56"/>
        <v>43435</v>
      </c>
      <c r="AG3635" s="368">
        <v>43445</v>
      </c>
      <c r="AH3635" s="370">
        <v>3176.12</v>
      </c>
    </row>
    <row r="3636" spans="32:34">
      <c r="AF3636" s="367">
        <f t="shared" si="56"/>
        <v>43435</v>
      </c>
      <c r="AG3636" s="368">
        <v>43446</v>
      </c>
      <c r="AH3636" s="370">
        <v>3184.7</v>
      </c>
    </row>
    <row r="3637" spans="32:34">
      <c r="AF3637" s="367">
        <f t="shared" si="56"/>
        <v>43435</v>
      </c>
      <c r="AG3637" s="368">
        <v>43447</v>
      </c>
      <c r="AH3637" s="370">
        <v>3169.36</v>
      </c>
    </row>
    <row r="3638" spans="32:34">
      <c r="AF3638" s="367">
        <f t="shared" si="56"/>
        <v>43435</v>
      </c>
      <c r="AG3638" s="368">
        <v>43448</v>
      </c>
      <c r="AH3638" s="370">
        <v>3178.4</v>
      </c>
    </row>
    <row r="3639" spans="32:34">
      <c r="AF3639" s="367">
        <f t="shared" si="56"/>
        <v>43435</v>
      </c>
      <c r="AG3639" s="368">
        <v>43449</v>
      </c>
      <c r="AH3639" s="370">
        <v>3196.3</v>
      </c>
    </row>
    <row r="3640" spans="32:34">
      <c r="AF3640" s="367">
        <f t="shared" si="56"/>
        <v>43435</v>
      </c>
      <c r="AG3640" s="368">
        <v>43450</v>
      </c>
      <c r="AH3640" s="370">
        <v>3196.3</v>
      </c>
    </row>
    <row r="3641" spans="32:34">
      <c r="AF3641" s="367">
        <f t="shared" si="56"/>
        <v>43435</v>
      </c>
      <c r="AG3641" s="368">
        <v>43451</v>
      </c>
      <c r="AH3641" s="370">
        <v>3196.3</v>
      </c>
    </row>
    <row r="3642" spans="32:34">
      <c r="AF3642" s="367">
        <f t="shared" si="56"/>
        <v>43435</v>
      </c>
      <c r="AG3642" s="368">
        <v>43452</v>
      </c>
      <c r="AH3642" s="370">
        <v>3188.66</v>
      </c>
    </row>
    <row r="3643" spans="32:34">
      <c r="AF3643" s="367">
        <f t="shared" si="56"/>
        <v>43435</v>
      </c>
      <c r="AG3643" s="368">
        <v>43453</v>
      </c>
      <c r="AH3643" s="370">
        <v>3198.45</v>
      </c>
    </row>
    <row r="3644" spans="32:34">
      <c r="AF3644" s="367">
        <f t="shared" si="56"/>
        <v>43435</v>
      </c>
      <c r="AG3644" s="368">
        <v>43454</v>
      </c>
      <c r="AH3644" s="370">
        <v>3216.55</v>
      </c>
    </row>
    <row r="3645" spans="32:34">
      <c r="AF3645" s="367">
        <f t="shared" si="56"/>
        <v>43435</v>
      </c>
      <c r="AG3645" s="368">
        <v>43455</v>
      </c>
      <c r="AH3645" s="370">
        <v>3246.86</v>
      </c>
    </row>
    <row r="3646" spans="32:34">
      <c r="AF3646" s="367">
        <f t="shared" si="56"/>
        <v>43435</v>
      </c>
      <c r="AG3646" s="368">
        <v>43456</v>
      </c>
      <c r="AH3646" s="370">
        <v>3285.34</v>
      </c>
    </row>
    <row r="3647" spans="32:34">
      <c r="AF3647" s="367">
        <f t="shared" si="56"/>
        <v>43435</v>
      </c>
      <c r="AG3647" s="368">
        <v>43457</v>
      </c>
      <c r="AH3647" s="370">
        <v>3285.34</v>
      </c>
    </row>
    <row r="3648" spans="32:34">
      <c r="AF3648" s="367">
        <f t="shared" si="56"/>
        <v>43435</v>
      </c>
      <c r="AG3648" s="368">
        <v>43458</v>
      </c>
      <c r="AH3648" s="370">
        <v>3285.34</v>
      </c>
    </row>
    <row r="3649" spans="32:34">
      <c r="AF3649" s="367">
        <f t="shared" si="56"/>
        <v>43435</v>
      </c>
      <c r="AG3649" s="368">
        <v>43459</v>
      </c>
      <c r="AH3649" s="370">
        <v>3285.51</v>
      </c>
    </row>
    <row r="3650" spans="32:34">
      <c r="AF3650" s="367">
        <f t="shared" si="56"/>
        <v>43435</v>
      </c>
      <c r="AG3650" s="368">
        <v>43460</v>
      </c>
      <c r="AH3650" s="370">
        <v>3285.51</v>
      </c>
    </row>
    <row r="3651" spans="32:34">
      <c r="AF3651" s="367">
        <f t="shared" si="56"/>
        <v>43435</v>
      </c>
      <c r="AG3651" s="368">
        <v>43461</v>
      </c>
      <c r="AH3651" s="370">
        <v>3289.69</v>
      </c>
    </row>
    <row r="3652" spans="32:34">
      <c r="AF3652" s="367">
        <f t="shared" ref="AF3652:AF3715" si="57">+DATE(YEAR(AG3652),MONTH(AG3652),1)</f>
        <v>43435</v>
      </c>
      <c r="AG3652" s="368">
        <v>43462</v>
      </c>
      <c r="AH3652" s="370">
        <v>3275.01</v>
      </c>
    </row>
    <row r="3653" spans="32:34">
      <c r="AF3653" s="367">
        <f t="shared" si="57"/>
        <v>43435</v>
      </c>
      <c r="AG3653" s="368">
        <v>43463</v>
      </c>
      <c r="AH3653" s="370">
        <v>3249.75</v>
      </c>
    </row>
    <row r="3654" spans="32:34">
      <c r="AF3654" s="367">
        <f t="shared" si="57"/>
        <v>43435</v>
      </c>
      <c r="AG3654" s="368">
        <v>43464</v>
      </c>
      <c r="AH3654" s="370">
        <v>3249.75</v>
      </c>
    </row>
    <row r="3655" spans="32:34">
      <c r="AF3655" s="367">
        <f t="shared" si="57"/>
        <v>43435</v>
      </c>
      <c r="AG3655" s="368">
        <v>43465</v>
      </c>
      <c r="AH3655" s="370">
        <v>3249.75</v>
      </c>
    </row>
    <row r="3656" spans="32:34">
      <c r="AF3656" s="367">
        <f t="shared" si="57"/>
        <v>43466</v>
      </c>
      <c r="AG3656" s="368">
        <v>43466</v>
      </c>
      <c r="AH3656" s="370">
        <v>3249.75</v>
      </c>
    </row>
    <row r="3657" spans="32:34">
      <c r="AF3657" s="367">
        <f t="shared" si="57"/>
        <v>43466</v>
      </c>
      <c r="AG3657" s="368">
        <v>43467</v>
      </c>
      <c r="AH3657" s="370">
        <v>3249.75</v>
      </c>
    </row>
    <row r="3658" spans="32:34">
      <c r="AF3658" s="367">
        <f t="shared" si="57"/>
        <v>43466</v>
      </c>
      <c r="AG3658" s="368">
        <v>43468</v>
      </c>
      <c r="AH3658" s="370">
        <v>3250.01</v>
      </c>
    </row>
    <row r="3659" spans="32:34">
      <c r="AF3659" s="367">
        <f t="shared" si="57"/>
        <v>43466</v>
      </c>
      <c r="AG3659" s="368">
        <v>43469</v>
      </c>
      <c r="AH3659" s="370">
        <v>3241.2</v>
      </c>
    </row>
    <row r="3660" spans="32:34">
      <c r="AF3660" s="367">
        <f t="shared" si="57"/>
        <v>43466</v>
      </c>
      <c r="AG3660" s="368">
        <v>43470</v>
      </c>
      <c r="AH3660" s="370">
        <v>3208.56</v>
      </c>
    </row>
    <row r="3661" spans="32:34">
      <c r="AF3661" s="367">
        <f t="shared" si="57"/>
        <v>43466</v>
      </c>
      <c r="AG3661" s="368">
        <v>43471</v>
      </c>
      <c r="AH3661" s="370">
        <v>3208.56</v>
      </c>
    </row>
    <row r="3662" spans="32:34">
      <c r="AF3662" s="367">
        <f t="shared" si="57"/>
        <v>43466</v>
      </c>
      <c r="AG3662" s="368">
        <v>43472</v>
      </c>
      <c r="AH3662" s="370">
        <v>3208.56</v>
      </c>
    </row>
    <row r="3663" spans="32:34">
      <c r="AF3663" s="367">
        <f t="shared" si="57"/>
        <v>43466</v>
      </c>
      <c r="AG3663" s="368">
        <v>43473</v>
      </c>
      <c r="AH3663" s="370">
        <v>3208.56</v>
      </c>
    </row>
    <row r="3664" spans="32:34">
      <c r="AF3664" s="367">
        <f t="shared" si="57"/>
        <v>43466</v>
      </c>
      <c r="AG3664" s="368">
        <v>43474</v>
      </c>
      <c r="AH3664" s="370">
        <v>3164.75</v>
      </c>
    </row>
    <row r="3665" spans="32:34">
      <c r="AF3665" s="367">
        <f t="shared" si="57"/>
        <v>43466</v>
      </c>
      <c r="AG3665" s="368">
        <v>43475</v>
      </c>
      <c r="AH3665" s="370">
        <v>3128.07</v>
      </c>
    </row>
    <row r="3666" spans="32:34">
      <c r="AF3666" s="367">
        <f t="shared" si="57"/>
        <v>43466</v>
      </c>
      <c r="AG3666" s="368">
        <v>43476</v>
      </c>
      <c r="AH3666" s="370">
        <v>3136.49</v>
      </c>
    </row>
    <row r="3667" spans="32:34">
      <c r="AF3667" s="367">
        <f t="shared" si="57"/>
        <v>43466</v>
      </c>
      <c r="AG3667" s="368">
        <v>43477</v>
      </c>
      <c r="AH3667" s="370">
        <v>3151.49</v>
      </c>
    </row>
    <row r="3668" spans="32:34">
      <c r="AF3668" s="367">
        <f t="shared" si="57"/>
        <v>43466</v>
      </c>
      <c r="AG3668" s="368">
        <v>43478</v>
      </c>
      <c r="AH3668" s="370">
        <v>3151.49</v>
      </c>
    </row>
    <row r="3669" spans="32:34">
      <c r="AF3669" s="367">
        <f t="shared" si="57"/>
        <v>43466</v>
      </c>
      <c r="AG3669" s="368">
        <v>43479</v>
      </c>
      <c r="AH3669" s="370">
        <v>3151.49</v>
      </c>
    </row>
    <row r="3670" spans="32:34">
      <c r="AF3670" s="367">
        <f t="shared" si="57"/>
        <v>43466</v>
      </c>
      <c r="AG3670" s="368">
        <v>43480</v>
      </c>
      <c r="AH3670" s="370">
        <v>3143.22</v>
      </c>
    </row>
    <row r="3671" spans="32:34">
      <c r="AF3671" s="367">
        <f t="shared" si="57"/>
        <v>43466</v>
      </c>
      <c r="AG3671" s="368">
        <v>43481</v>
      </c>
      <c r="AH3671" s="370">
        <v>3137.66</v>
      </c>
    </row>
    <row r="3672" spans="32:34">
      <c r="AF3672" s="367">
        <f t="shared" si="57"/>
        <v>43466</v>
      </c>
      <c r="AG3672" s="368">
        <v>43482</v>
      </c>
      <c r="AH3672" s="370">
        <v>3124.96</v>
      </c>
    </row>
    <row r="3673" spans="32:34">
      <c r="AF3673" s="367">
        <f t="shared" si="57"/>
        <v>43466</v>
      </c>
      <c r="AG3673" s="368">
        <v>43483</v>
      </c>
      <c r="AH3673" s="370">
        <v>3140.19</v>
      </c>
    </row>
    <row r="3674" spans="32:34">
      <c r="AF3674" s="367">
        <f t="shared" si="57"/>
        <v>43466</v>
      </c>
      <c r="AG3674" s="368">
        <v>43484</v>
      </c>
      <c r="AH3674" s="370">
        <v>3120.56</v>
      </c>
    </row>
    <row r="3675" spans="32:34">
      <c r="AF3675" s="367">
        <f t="shared" si="57"/>
        <v>43466</v>
      </c>
      <c r="AG3675" s="368">
        <v>43485</v>
      </c>
      <c r="AH3675" s="370">
        <v>3120.56</v>
      </c>
    </row>
    <row r="3676" spans="32:34">
      <c r="AF3676" s="367">
        <f t="shared" si="57"/>
        <v>43466</v>
      </c>
      <c r="AG3676" s="368">
        <v>43486</v>
      </c>
      <c r="AH3676" s="370">
        <v>3120.56</v>
      </c>
    </row>
    <row r="3677" spans="32:34">
      <c r="AF3677" s="367">
        <f t="shared" si="57"/>
        <v>43466</v>
      </c>
      <c r="AG3677" s="368">
        <v>43487</v>
      </c>
      <c r="AH3677" s="370">
        <v>3120.56</v>
      </c>
    </row>
    <row r="3678" spans="32:34">
      <c r="AF3678" s="367">
        <f t="shared" si="57"/>
        <v>43466</v>
      </c>
      <c r="AG3678" s="368">
        <v>43488</v>
      </c>
      <c r="AH3678" s="370">
        <v>3136.59</v>
      </c>
    </row>
    <row r="3679" spans="32:34">
      <c r="AF3679" s="367">
        <f t="shared" si="57"/>
        <v>43466</v>
      </c>
      <c r="AG3679" s="368">
        <v>43489</v>
      </c>
      <c r="AH3679" s="370">
        <v>3146.14</v>
      </c>
    </row>
    <row r="3680" spans="32:34">
      <c r="AF3680" s="367">
        <f t="shared" si="57"/>
        <v>43466</v>
      </c>
      <c r="AG3680" s="368">
        <v>43490</v>
      </c>
      <c r="AH3680" s="370">
        <v>3160.52</v>
      </c>
    </row>
    <row r="3681" spans="32:34">
      <c r="AF3681" s="367">
        <f t="shared" si="57"/>
        <v>43466</v>
      </c>
      <c r="AG3681" s="368">
        <v>43491</v>
      </c>
      <c r="AH3681" s="370">
        <v>3150.58</v>
      </c>
    </row>
    <row r="3682" spans="32:34">
      <c r="AF3682" s="367">
        <f t="shared" si="57"/>
        <v>43466</v>
      </c>
      <c r="AG3682" s="368">
        <v>43492</v>
      </c>
      <c r="AH3682" s="370">
        <v>3150.58</v>
      </c>
    </row>
    <row r="3683" spans="32:34">
      <c r="AF3683" s="367">
        <f t="shared" si="57"/>
        <v>43466</v>
      </c>
      <c r="AG3683" s="368">
        <v>43493</v>
      </c>
      <c r="AH3683" s="370">
        <v>3150.58</v>
      </c>
    </row>
    <row r="3684" spans="32:34">
      <c r="AF3684" s="367">
        <f t="shared" si="57"/>
        <v>43466</v>
      </c>
      <c r="AG3684" s="368">
        <v>43494</v>
      </c>
      <c r="AH3684" s="370">
        <v>3167.86</v>
      </c>
    </row>
    <row r="3685" spans="32:34">
      <c r="AF3685" s="367">
        <f t="shared" si="57"/>
        <v>43466</v>
      </c>
      <c r="AG3685" s="368">
        <v>43495</v>
      </c>
      <c r="AH3685" s="370">
        <v>3157.52</v>
      </c>
    </row>
    <row r="3686" spans="32:34">
      <c r="AF3686" s="367">
        <f t="shared" si="57"/>
        <v>43466</v>
      </c>
      <c r="AG3686" s="368">
        <v>43496</v>
      </c>
      <c r="AH3686" s="370">
        <v>3163.46</v>
      </c>
    </row>
    <row r="3687" spans="32:34">
      <c r="AF3687" s="367">
        <f t="shared" si="57"/>
        <v>43497</v>
      </c>
      <c r="AG3687" s="368">
        <v>43497</v>
      </c>
      <c r="AH3687" s="370">
        <v>3115.7</v>
      </c>
    </row>
    <row r="3688" spans="32:34">
      <c r="AF3688" s="367">
        <f t="shared" si="57"/>
        <v>43497</v>
      </c>
      <c r="AG3688" s="368">
        <v>43498</v>
      </c>
      <c r="AH3688" s="370">
        <v>3102.61</v>
      </c>
    </row>
    <row r="3689" spans="32:34">
      <c r="AF3689" s="367">
        <f t="shared" si="57"/>
        <v>43497</v>
      </c>
      <c r="AG3689" s="368">
        <v>43499</v>
      </c>
      <c r="AH3689" s="370">
        <v>3102.61</v>
      </c>
    </row>
    <row r="3690" spans="32:34">
      <c r="AF3690" s="367">
        <f t="shared" si="57"/>
        <v>43497</v>
      </c>
      <c r="AG3690" s="368">
        <v>43500</v>
      </c>
      <c r="AH3690" s="370">
        <v>3102.61</v>
      </c>
    </row>
    <row r="3691" spans="32:34">
      <c r="AF3691" s="367">
        <f t="shared" si="57"/>
        <v>43497</v>
      </c>
      <c r="AG3691" s="368">
        <v>43501</v>
      </c>
      <c r="AH3691" s="370">
        <v>3089.4</v>
      </c>
    </row>
    <row r="3692" spans="32:34">
      <c r="AF3692" s="367">
        <f t="shared" si="57"/>
        <v>43497</v>
      </c>
      <c r="AG3692" s="368">
        <v>43502</v>
      </c>
      <c r="AH3692" s="370">
        <v>3094.05</v>
      </c>
    </row>
    <row r="3693" spans="32:34">
      <c r="AF3693" s="367">
        <f t="shared" si="57"/>
        <v>43497</v>
      </c>
      <c r="AG3693" s="368">
        <v>43503</v>
      </c>
      <c r="AH3693" s="370">
        <v>3108.54</v>
      </c>
    </row>
    <row r="3694" spans="32:34">
      <c r="AF3694" s="367">
        <f t="shared" si="57"/>
        <v>43497</v>
      </c>
      <c r="AG3694" s="368">
        <v>43504</v>
      </c>
      <c r="AH3694" s="370">
        <v>3110.46</v>
      </c>
    </row>
    <row r="3695" spans="32:34">
      <c r="AF3695" s="367">
        <f t="shared" si="57"/>
        <v>43497</v>
      </c>
      <c r="AG3695" s="368">
        <v>43505</v>
      </c>
      <c r="AH3695" s="370">
        <v>3115.94</v>
      </c>
    </row>
    <row r="3696" spans="32:34">
      <c r="AF3696" s="367">
        <f t="shared" si="57"/>
        <v>43497</v>
      </c>
      <c r="AG3696" s="368">
        <v>43506</v>
      </c>
      <c r="AH3696" s="370">
        <v>3115.94</v>
      </c>
    </row>
    <row r="3697" spans="32:34">
      <c r="AF3697" s="367">
        <f t="shared" si="57"/>
        <v>43497</v>
      </c>
      <c r="AG3697" s="368">
        <v>43507</v>
      </c>
      <c r="AH3697" s="370">
        <v>3115.94</v>
      </c>
    </row>
    <row r="3698" spans="32:34">
      <c r="AF3698" s="367">
        <f t="shared" si="57"/>
        <v>43497</v>
      </c>
      <c r="AG3698" s="368">
        <v>43508</v>
      </c>
      <c r="AH3698" s="370">
        <v>3132.61</v>
      </c>
    </row>
    <row r="3699" spans="32:34">
      <c r="AF3699" s="367">
        <f t="shared" si="57"/>
        <v>43497</v>
      </c>
      <c r="AG3699" s="368">
        <v>43509</v>
      </c>
      <c r="AH3699" s="370">
        <v>3131.1</v>
      </c>
    </row>
    <row r="3700" spans="32:34">
      <c r="AF3700" s="367">
        <f t="shared" si="57"/>
        <v>43497</v>
      </c>
      <c r="AG3700" s="368">
        <v>43510</v>
      </c>
      <c r="AH3700" s="370">
        <v>3135.56</v>
      </c>
    </row>
    <row r="3701" spans="32:34">
      <c r="AF3701" s="367">
        <f t="shared" si="57"/>
        <v>43497</v>
      </c>
      <c r="AG3701" s="368">
        <v>43511</v>
      </c>
      <c r="AH3701" s="370">
        <v>3155.27</v>
      </c>
    </row>
    <row r="3702" spans="32:34">
      <c r="AF3702" s="367">
        <f t="shared" si="57"/>
        <v>43497</v>
      </c>
      <c r="AG3702" s="368">
        <v>43512</v>
      </c>
      <c r="AH3702" s="370">
        <v>3141.4</v>
      </c>
    </row>
    <row r="3703" spans="32:34">
      <c r="AF3703" s="367">
        <f t="shared" si="57"/>
        <v>43497</v>
      </c>
      <c r="AG3703" s="368">
        <v>43513</v>
      </c>
      <c r="AH3703" s="370">
        <v>3141.4</v>
      </c>
    </row>
    <row r="3704" spans="32:34">
      <c r="AF3704" s="367">
        <f t="shared" si="57"/>
        <v>43497</v>
      </c>
      <c r="AG3704" s="368">
        <v>43514</v>
      </c>
      <c r="AH3704" s="370">
        <v>3141.4</v>
      </c>
    </row>
    <row r="3705" spans="32:34">
      <c r="AF3705" s="367">
        <f t="shared" si="57"/>
        <v>43497</v>
      </c>
      <c r="AG3705" s="368">
        <v>43515</v>
      </c>
      <c r="AH3705" s="370">
        <v>3141.4</v>
      </c>
    </row>
    <row r="3706" spans="32:34">
      <c r="AF3706" s="367">
        <f t="shared" si="57"/>
        <v>43497</v>
      </c>
      <c r="AG3706" s="368">
        <v>43516</v>
      </c>
      <c r="AH3706" s="370">
        <v>3118.36</v>
      </c>
    </row>
    <row r="3707" spans="32:34">
      <c r="AF3707" s="367">
        <f t="shared" si="57"/>
        <v>43497</v>
      </c>
      <c r="AG3707" s="368">
        <v>43517</v>
      </c>
      <c r="AH3707" s="370">
        <v>3112.18</v>
      </c>
    </row>
    <row r="3708" spans="32:34">
      <c r="AF3708" s="367">
        <f t="shared" si="57"/>
        <v>43497</v>
      </c>
      <c r="AG3708" s="368">
        <v>43518</v>
      </c>
      <c r="AH3708" s="370">
        <v>3119.42</v>
      </c>
    </row>
    <row r="3709" spans="32:34">
      <c r="AF3709" s="367">
        <f t="shared" si="57"/>
        <v>43497</v>
      </c>
      <c r="AG3709" s="368">
        <v>43519</v>
      </c>
      <c r="AH3709" s="370">
        <v>3110.29</v>
      </c>
    </row>
    <row r="3710" spans="32:34">
      <c r="AF3710" s="367">
        <f t="shared" si="57"/>
        <v>43497</v>
      </c>
      <c r="AG3710" s="368">
        <v>43520</v>
      </c>
      <c r="AH3710" s="370">
        <v>3110.29</v>
      </c>
    </row>
    <row r="3711" spans="32:34">
      <c r="AF3711" s="367">
        <f t="shared" si="57"/>
        <v>43497</v>
      </c>
      <c r="AG3711" s="368">
        <v>43521</v>
      </c>
      <c r="AH3711" s="370">
        <v>3110.29</v>
      </c>
    </row>
    <row r="3712" spans="32:34">
      <c r="AF3712" s="367">
        <f t="shared" si="57"/>
        <v>43497</v>
      </c>
      <c r="AG3712" s="368">
        <v>43522</v>
      </c>
      <c r="AH3712" s="370">
        <v>3101.41</v>
      </c>
    </row>
    <row r="3713" spans="32:34">
      <c r="AF3713" s="367">
        <f t="shared" si="57"/>
        <v>43497</v>
      </c>
      <c r="AG3713" s="368">
        <v>43523</v>
      </c>
      <c r="AH3713" s="370">
        <v>3095.29</v>
      </c>
    </row>
    <row r="3714" spans="32:34">
      <c r="AF3714" s="367">
        <f t="shared" si="57"/>
        <v>43497</v>
      </c>
      <c r="AG3714" s="368">
        <v>43524</v>
      </c>
      <c r="AH3714" s="370">
        <v>3072.01</v>
      </c>
    </row>
    <row r="3715" spans="32:34">
      <c r="AF3715" s="367">
        <f t="shared" si="57"/>
        <v>43525</v>
      </c>
      <c r="AG3715" s="368">
        <v>43525</v>
      </c>
      <c r="AH3715" s="370">
        <v>3077.35</v>
      </c>
    </row>
    <row r="3716" spans="32:34">
      <c r="AF3716" s="367">
        <f t="shared" ref="AF3716:AF3779" si="58">+DATE(YEAR(AG3716),MONTH(AG3716),1)</f>
        <v>43525</v>
      </c>
      <c r="AG3716" s="368">
        <v>43526</v>
      </c>
      <c r="AH3716" s="370">
        <v>3091.49</v>
      </c>
    </row>
    <row r="3717" spans="32:34">
      <c r="AF3717" s="367">
        <f t="shared" si="58"/>
        <v>43525</v>
      </c>
      <c r="AG3717" s="368">
        <v>43527</v>
      </c>
      <c r="AH3717" s="370">
        <v>3091.49</v>
      </c>
    </row>
    <row r="3718" spans="32:34">
      <c r="AF3718" s="367">
        <f t="shared" si="58"/>
        <v>43525</v>
      </c>
      <c r="AG3718" s="368">
        <v>43528</v>
      </c>
      <c r="AH3718" s="370">
        <v>3091.49</v>
      </c>
    </row>
    <row r="3719" spans="32:34">
      <c r="AF3719" s="367">
        <f t="shared" si="58"/>
        <v>43525</v>
      </c>
      <c r="AG3719" s="368">
        <v>43529</v>
      </c>
      <c r="AH3719" s="370">
        <v>3093.79</v>
      </c>
    </row>
    <row r="3720" spans="32:34">
      <c r="AF3720" s="367">
        <f t="shared" si="58"/>
        <v>43525</v>
      </c>
      <c r="AG3720" s="368">
        <v>43530</v>
      </c>
      <c r="AH3720" s="370">
        <v>3099.12</v>
      </c>
    </row>
    <row r="3721" spans="32:34">
      <c r="AF3721" s="367">
        <f t="shared" si="58"/>
        <v>43525</v>
      </c>
      <c r="AG3721" s="368">
        <v>43531</v>
      </c>
      <c r="AH3721" s="370">
        <v>3106.16</v>
      </c>
    </row>
    <row r="3722" spans="32:34">
      <c r="AF3722" s="367">
        <f t="shared" si="58"/>
        <v>43525</v>
      </c>
      <c r="AG3722" s="368">
        <v>43532</v>
      </c>
      <c r="AH3722" s="370">
        <v>3120.04</v>
      </c>
    </row>
    <row r="3723" spans="32:34">
      <c r="AF3723" s="367">
        <f t="shared" si="58"/>
        <v>43525</v>
      </c>
      <c r="AG3723" s="368">
        <v>43533</v>
      </c>
      <c r="AH3723" s="370">
        <v>3162.4</v>
      </c>
    </row>
    <row r="3724" spans="32:34">
      <c r="AF3724" s="367">
        <f t="shared" si="58"/>
        <v>43525</v>
      </c>
      <c r="AG3724" s="368">
        <v>43534</v>
      </c>
      <c r="AH3724" s="370">
        <v>3162.4</v>
      </c>
    </row>
    <row r="3725" spans="32:34">
      <c r="AF3725" s="367">
        <f t="shared" si="58"/>
        <v>43525</v>
      </c>
      <c r="AG3725" s="368">
        <v>43535</v>
      </c>
      <c r="AH3725" s="370">
        <v>3162.4</v>
      </c>
    </row>
    <row r="3726" spans="32:34">
      <c r="AF3726" s="367">
        <f t="shared" si="58"/>
        <v>43525</v>
      </c>
      <c r="AG3726" s="368">
        <v>43536</v>
      </c>
      <c r="AH3726" s="370">
        <v>3168.35</v>
      </c>
    </row>
    <row r="3727" spans="32:34">
      <c r="AF3727" s="367">
        <f t="shared" si="58"/>
        <v>43525</v>
      </c>
      <c r="AG3727" s="368">
        <v>43537</v>
      </c>
      <c r="AH3727" s="370">
        <v>3153.2</v>
      </c>
    </row>
    <row r="3728" spans="32:34">
      <c r="AF3728" s="367">
        <f t="shared" si="58"/>
        <v>43525</v>
      </c>
      <c r="AG3728" s="368">
        <v>43538</v>
      </c>
      <c r="AH3728" s="370">
        <v>3145.53</v>
      </c>
    </row>
    <row r="3729" spans="32:34">
      <c r="AF3729" s="367">
        <f t="shared" si="58"/>
        <v>43525</v>
      </c>
      <c r="AG3729" s="368">
        <v>43539</v>
      </c>
      <c r="AH3729" s="370">
        <v>3144.42</v>
      </c>
    </row>
    <row r="3730" spans="32:34">
      <c r="AF3730" s="367">
        <f t="shared" si="58"/>
        <v>43525</v>
      </c>
      <c r="AG3730" s="368">
        <v>43540</v>
      </c>
      <c r="AH3730" s="370">
        <v>3123.28</v>
      </c>
    </row>
    <row r="3731" spans="32:34">
      <c r="AF3731" s="367">
        <f t="shared" si="58"/>
        <v>43525</v>
      </c>
      <c r="AG3731" s="368">
        <v>43541</v>
      </c>
      <c r="AH3731" s="370">
        <v>3123.28</v>
      </c>
    </row>
    <row r="3732" spans="32:34">
      <c r="AF3732" s="367">
        <f t="shared" si="58"/>
        <v>43525</v>
      </c>
      <c r="AG3732" s="368">
        <v>43542</v>
      </c>
      <c r="AH3732" s="370">
        <v>3123.28</v>
      </c>
    </row>
    <row r="3733" spans="32:34">
      <c r="AF3733" s="367">
        <f t="shared" si="58"/>
        <v>43525</v>
      </c>
      <c r="AG3733" s="368">
        <v>43543</v>
      </c>
      <c r="AH3733" s="370">
        <v>3102.25</v>
      </c>
    </row>
    <row r="3734" spans="32:34">
      <c r="AF3734" s="367">
        <f t="shared" si="58"/>
        <v>43525</v>
      </c>
      <c r="AG3734" s="368">
        <v>43544</v>
      </c>
      <c r="AH3734" s="370">
        <v>3095.39</v>
      </c>
    </row>
    <row r="3735" spans="32:34">
      <c r="AF3735" s="367">
        <f t="shared" si="58"/>
        <v>43525</v>
      </c>
      <c r="AG3735" s="368">
        <v>43545</v>
      </c>
      <c r="AH3735" s="370">
        <v>3092.39</v>
      </c>
    </row>
    <row r="3736" spans="32:34">
      <c r="AF3736" s="367">
        <f t="shared" si="58"/>
        <v>43525</v>
      </c>
      <c r="AG3736" s="368">
        <v>43546</v>
      </c>
      <c r="AH3736" s="370">
        <v>3082.45</v>
      </c>
    </row>
    <row r="3737" spans="32:34">
      <c r="AF3737" s="367">
        <f t="shared" si="58"/>
        <v>43525</v>
      </c>
      <c r="AG3737" s="368">
        <v>43547</v>
      </c>
      <c r="AH3737" s="370">
        <v>3126.19</v>
      </c>
    </row>
    <row r="3738" spans="32:34">
      <c r="AF3738" s="367">
        <f t="shared" si="58"/>
        <v>43525</v>
      </c>
      <c r="AG3738" s="368">
        <v>43548</v>
      </c>
      <c r="AH3738" s="370">
        <v>3126.19</v>
      </c>
    </row>
    <row r="3739" spans="32:34">
      <c r="AF3739" s="367">
        <f t="shared" si="58"/>
        <v>43525</v>
      </c>
      <c r="AG3739" s="368">
        <v>43549</v>
      </c>
      <c r="AH3739" s="370">
        <v>3126.19</v>
      </c>
    </row>
    <row r="3740" spans="32:34">
      <c r="AF3740" s="367">
        <f t="shared" si="58"/>
        <v>43525</v>
      </c>
      <c r="AG3740" s="368">
        <v>43550</v>
      </c>
      <c r="AH3740" s="370">
        <v>3126.19</v>
      </c>
    </row>
    <row r="3741" spans="32:34">
      <c r="AF3741" s="367">
        <f t="shared" si="58"/>
        <v>43525</v>
      </c>
      <c r="AG3741" s="368">
        <v>43551</v>
      </c>
      <c r="AH3741" s="370">
        <v>3145.55</v>
      </c>
    </row>
    <row r="3742" spans="32:34">
      <c r="AF3742" s="367">
        <f t="shared" si="58"/>
        <v>43525</v>
      </c>
      <c r="AG3742" s="368">
        <v>43552</v>
      </c>
      <c r="AH3742" s="370">
        <v>3186.43</v>
      </c>
    </row>
    <row r="3743" spans="32:34">
      <c r="AF3743" s="367">
        <f t="shared" si="58"/>
        <v>43525</v>
      </c>
      <c r="AG3743" s="368">
        <v>43553</v>
      </c>
      <c r="AH3743" s="370">
        <v>3190.94</v>
      </c>
    </row>
    <row r="3744" spans="32:34">
      <c r="AF3744" s="367">
        <f t="shared" si="58"/>
        <v>43525</v>
      </c>
      <c r="AG3744" s="368">
        <v>43554</v>
      </c>
      <c r="AH3744" s="370">
        <v>3174.79</v>
      </c>
    </row>
    <row r="3745" spans="32:34">
      <c r="AF3745" s="367">
        <f t="shared" si="58"/>
        <v>43525</v>
      </c>
      <c r="AG3745" s="368">
        <v>43555</v>
      </c>
      <c r="AH3745" s="370">
        <v>3174.79</v>
      </c>
    </row>
    <row r="3746" spans="32:34">
      <c r="AF3746" s="367">
        <f t="shared" si="58"/>
        <v>43556</v>
      </c>
      <c r="AG3746" s="368">
        <v>43556</v>
      </c>
      <c r="AH3746" s="370">
        <v>3174.79</v>
      </c>
    </row>
    <row r="3747" spans="32:34">
      <c r="AF3747" s="367">
        <f t="shared" si="58"/>
        <v>43556</v>
      </c>
      <c r="AG3747" s="368">
        <v>43557</v>
      </c>
      <c r="AH3747" s="370">
        <v>3146.81</v>
      </c>
    </row>
    <row r="3748" spans="32:34">
      <c r="AF3748" s="367">
        <f t="shared" si="58"/>
        <v>43556</v>
      </c>
      <c r="AG3748" s="368">
        <v>43558</v>
      </c>
      <c r="AH3748" s="370">
        <v>3143.36</v>
      </c>
    </row>
    <row r="3749" spans="32:34">
      <c r="AF3749" s="367">
        <f t="shared" si="58"/>
        <v>43556</v>
      </c>
      <c r="AG3749" s="368">
        <v>43559</v>
      </c>
      <c r="AH3749" s="370">
        <v>3128.47</v>
      </c>
    </row>
    <row r="3750" spans="32:34">
      <c r="AF3750" s="367">
        <f t="shared" si="58"/>
        <v>43556</v>
      </c>
      <c r="AG3750" s="368">
        <v>43560</v>
      </c>
      <c r="AH3750" s="370">
        <v>3132.78</v>
      </c>
    </row>
    <row r="3751" spans="32:34">
      <c r="AF3751" s="367">
        <f t="shared" si="58"/>
        <v>43556</v>
      </c>
      <c r="AG3751" s="368">
        <v>43561</v>
      </c>
      <c r="AH3751" s="370">
        <v>3126.2</v>
      </c>
    </row>
    <row r="3752" spans="32:34">
      <c r="AF3752" s="367">
        <f t="shared" si="58"/>
        <v>43556</v>
      </c>
      <c r="AG3752" s="368">
        <v>43562</v>
      </c>
      <c r="AH3752" s="370">
        <v>3126.2</v>
      </c>
    </row>
    <row r="3753" spans="32:34">
      <c r="AF3753" s="367">
        <f t="shared" si="58"/>
        <v>43556</v>
      </c>
      <c r="AG3753" s="368">
        <v>43563</v>
      </c>
      <c r="AH3753" s="370">
        <v>3126.2</v>
      </c>
    </row>
    <row r="3754" spans="32:34">
      <c r="AF3754" s="367">
        <f t="shared" si="58"/>
        <v>43556</v>
      </c>
      <c r="AG3754" s="368">
        <v>43564</v>
      </c>
      <c r="AH3754" s="370">
        <v>3115.22</v>
      </c>
    </row>
    <row r="3755" spans="32:34">
      <c r="AF3755" s="367">
        <f t="shared" si="58"/>
        <v>43556</v>
      </c>
      <c r="AG3755" s="368">
        <v>43565</v>
      </c>
      <c r="AH3755" s="370">
        <v>3105.2</v>
      </c>
    </row>
    <row r="3756" spans="32:34">
      <c r="AF3756" s="367">
        <f t="shared" si="58"/>
        <v>43556</v>
      </c>
      <c r="AG3756" s="368">
        <v>43566</v>
      </c>
      <c r="AH3756" s="370">
        <v>3095.66</v>
      </c>
    </row>
    <row r="3757" spans="32:34">
      <c r="AF3757" s="367">
        <f t="shared" si="58"/>
        <v>43556</v>
      </c>
      <c r="AG3757" s="368">
        <v>43567</v>
      </c>
      <c r="AH3757" s="370">
        <v>3113.91</v>
      </c>
    </row>
    <row r="3758" spans="32:34">
      <c r="AF3758" s="367">
        <f t="shared" si="58"/>
        <v>43556</v>
      </c>
      <c r="AG3758" s="368">
        <v>43568</v>
      </c>
      <c r="AH3758" s="370">
        <v>3109.32</v>
      </c>
    </row>
    <row r="3759" spans="32:34">
      <c r="AF3759" s="367">
        <f t="shared" si="58"/>
        <v>43556</v>
      </c>
      <c r="AG3759" s="368">
        <v>43569</v>
      </c>
      <c r="AH3759" s="370">
        <v>3109.32</v>
      </c>
    </row>
    <row r="3760" spans="32:34">
      <c r="AF3760" s="367">
        <f t="shared" si="58"/>
        <v>43556</v>
      </c>
      <c r="AG3760" s="368">
        <v>43570</v>
      </c>
      <c r="AH3760" s="370">
        <v>3109.32</v>
      </c>
    </row>
    <row r="3761" spans="32:34">
      <c r="AF3761" s="367">
        <f t="shared" si="58"/>
        <v>43556</v>
      </c>
      <c r="AG3761" s="368">
        <v>43571</v>
      </c>
      <c r="AH3761" s="370">
        <v>3136.69</v>
      </c>
    </row>
    <row r="3762" spans="32:34">
      <c r="AF3762" s="367">
        <f t="shared" si="58"/>
        <v>43556</v>
      </c>
      <c r="AG3762" s="368">
        <v>43572</v>
      </c>
      <c r="AH3762" s="370">
        <v>3160.87</v>
      </c>
    </row>
    <row r="3763" spans="32:34">
      <c r="AF3763" s="367">
        <f t="shared" si="58"/>
        <v>43556</v>
      </c>
      <c r="AG3763" s="368">
        <v>43573</v>
      </c>
      <c r="AH3763" s="370">
        <v>3160.48</v>
      </c>
    </row>
    <row r="3764" spans="32:34">
      <c r="AF3764" s="367">
        <f t="shared" si="58"/>
        <v>43556</v>
      </c>
      <c r="AG3764" s="368">
        <v>43574</v>
      </c>
      <c r="AH3764" s="370">
        <v>3160.48</v>
      </c>
    </row>
    <row r="3765" spans="32:34">
      <c r="AF3765" s="367">
        <f t="shared" si="58"/>
        <v>43556</v>
      </c>
      <c r="AG3765" s="368">
        <v>43575</v>
      </c>
      <c r="AH3765" s="370">
        <v>3160.48</v>
      </c>
    </row>
    <row r="3766" spans="32:34">
      <c r="AF3766" s="367">
        <f t="shared" si="58"/>
        <v>43556</v>
      </c>
      <c r="AG3766" s="368">
        <v>43576</v>
      </c>
      <c r="AH3766" s="370">
        <v>3160.48</v>
      </c>
    </row>
    <row r="3767" spans="32:34">
      <c r="AF3767" s="367">
        <f t="shared" si="58"/>
        <v>43556</v>
      </c>
      <c r="AG3767" s="368">
        <v>43577</v>
      </c>
      <c r="AH3767" s="370">
        <v>3160.48</v>
      </c>
    </row>
    <row r="3768" spans="32:34">
      <c r="AF3768" s="367">
        <f t="shared" si="58"/>
        <v>43556</v>
      </c>
      <c r="AG3768" s="368">
        <v>43578</v>
      </c>
      <c r="AH3768" s="370">
        <v>3149.99</v>
      </c>
    </row>
    <row r="3769" spans="32:34">
      <c r="AF3769" s="367">
        <f t="shared" si="58"/>
        <v>43556</v>
      </c>
      <c r="AG3769" s="368">
        <v>43579</v>
      </c>
      <c r="AH3769" s="370">
        <v>3177.94</v>
      </c>
    </row>
    <row r="3770" spans="32:34">
      <c r="AF3770" s="367">
        <f t="shared" si="58"/>
        <v>43556</v>
      </c>
      <c r="AG3770" s="368">
        <v>43580</v>
      </c>
      <c r="AH3770" s="370">
        <v>3213.23</v>
      </c>
    </row>
    <row r="3771" spans="32:34">
      <c r="AF3771" s="367">
        <f t="shared" si="58"/>
        <v>43556</v>
      </c>
      <c r="AG3771" s="368">
        <v>43581</v>
      </c>
      <c r="AH3771" s="370">
        <v>3237.98</v>
      </c>
    </row>
    <row r="3772" spans="32:34">
      <c r="AF3772" s="367">
        <f t="shared" si="58"/>
        <v>43556</v>
      </c>
      <c r="AG3772" s="368">
        <v>43582</v>
      </c>
      <c r="AH3772" s="370">
        <v>3227.79</v>
      </c>
    </row>
    <row r="3773" spans="32:34">
      <c r="AF3773" s="367">
        <f t="shared" si="58"/>
        <v>43556</v>
      </c>
      <c r="AG3773" s="368">
        <v>43583</v>
      </c>
      <c r="AH3773" s="370">
        <v>3227.79</v>
      </c>
    </row>
    <row r="3774" spans="32:34">
      <c r="AF3774" s="367">
        <f t="shared" si="58"/>
        <v>43556</v>
      </c>
      <c r="AG3774" s="368">
        <v>43584</v>
      </c>
      <c r="AH3774" s="370">
        <v>3227.79</v>
      </c>
    </row>
    <row r="3775" spans="32:34">
      <c r="AF3775" s="367">
        <f t="shared" si="58"/>
        <v>43556</v>
      </c>
      <c r="AG3775" s="368">
        <v>43585</v>
      </c>
      <c r="AH3775" s="370">
        <v>3247.72</v>
      </c>
    </row>
    <row r="3776" spans="32:34">
      <c r="AF3776" s="367">
        <f t="shared" si="58"/>
        <v>43586</v>
      </c>
      <c r="AG3776" s="368">
        <v>43586</v>
      </c>
      <c r="AH3776" s="370">
        <v>3233.97</v>
      </c>
    </row>
    <row r="3777" spans="32:34">
      <c r="AF3777" s="367">
        <f t="shared" si="58"/>
        <v>43586</v>
      </c>
      <c r="AG3777" s="368">
        <v>43587</v>
      </c>
      <c r="AH3777" s="370">
        <v>3233.97</v>
      </c>
    </row>
    <row r="3778" spans="32:34">
      <c r="AF3778" s="367">
        <f t="shared" si="58"/>
        <v>43586</v>
      </c>
      <c r="AG3778" s="368">
        <v>43588</v>
      </c>
      <c r="AH3778" s="370">
        <v>3262.17</v>
      </c>
    </row>
    <row r="3779" spans="32:34">
      <c r="AF3779" s="367">
        <f t="shared" si="58"/>
        <v>43586</v>
      </c>
      <c r="AG3779" s="368">
        <v>43589</v>
      </c>
      <c r="AH3779" s="370">
        <v>3240.44</v>
      </c>
    </row>
    <row r="3780" spans="32:34">
      <c r="AF3780" s="367">
        <f t="shared" ref="AF3780:AF3843" si="59">+DATE(YEAR(AG3780),MONTH(AG3780),1)</f>
        <v>43586</v>
      </c>
      <c r="AG3780" s="368">
        <v>43590</v>
      </c>
      <c r="AH3780" s="370">
        <v>3240.44</v>
      </c>
    </row>
    <row r="3781" spans="32:34">
      <c r="AF3781" s="367">
        <f t="shared" si="59"/>
        <v>43586</v>
      </c>
      <c r="AG3781" s="368">
        <v>43591</v>
      </c>
      <c r="AH3781" s="370">
        <v>3240.44</v>
      </c>
    </row>
    <row r="3782" spans="32:34">
      <c r="AF3782" s="367">
        <f t="shared" si="59"/>
        <v>43586</v>
      </c>
      <c r="AG3782" s="368">
        <v>43592</v>
      </c>
      <c r="AH3782" s="370">
        <v>3254.03</v>
      </c>
    </row>
    <row r="3783" spans="32:34">
      <c r="AF3783" s="367">
        <f t="shared" si="59"/>
        <v>43586</v>
      </c>
      <c r="AG3783" s="368">
        <v>43593</v>
      </c>
      <c r="AH3783" s="370">
        <v>3288.81</v>
      </c>
    </row>
    <row r="3784" spans="32:34">
      <c r="AF3784" s="367">
        <f t="shared" si="59"/>
        <v>43586</v>
      </c>
      <c r="AG3784" s="368">
        <v>43594</v>
      </c>
      <c r="AH3784" s="370">
        <v>3290.12</v>
      </c>
    </row>
    <row r="3785" spans="32:34">
      <c r="AF3785" s="367">
        <f t="shared" si="59"/>
        <v>43586</v>
      </c>
      <c r="AG3785" s="368">
        <v>43595</v>
      </c>
      <c r="AH3785" s="370">
        <v>3293.62</v>
      </c>
    </row>
    <row r="3786" spans="32:34">
      <c r="AF3786" s="367">
        <f t="shared" si="59"/>
        <v>43586</v>
      </c>
      <c r="AG3786" s="368">
        <v>43596</v>
      </c>
      <c r="AH3786" s="370">
        <v>3274.3</v>
      </c>
    </row>
    <row r="3787" spans="32:34">
      <c r="AF3787" s="367">
        <f t="shared" si="59"/>
        <v>43586</v>
      </c>
      <c r="AG3787" s="368">
        <v>43597</v>
      </c>
      <c r="AH3787" s="370">
        <v>3274.3</v>
      </c>
    </row>
    <row r="3788" spans="32:34">
      <c r="AF3788" s="367">
        <f t="shared" si="59"/>
        <v>43586</v>
      </c>
      <c r="AG3788" s="368">
        <v>43598</v>
      </c>
      <c r="AH3788" s="370">
        <v>3274.3</v>
      </c>
    </row>
    <row r="3789" spans="32:34">
      <c r="AF3789" s="367">
        <f t="shared" si="59"/>
        <v>43586</v>
      </c>
      <c r="AG3789" s="368">
        <v>43599</v>
      </c>
      <c r="AH3789" s="370">
        <v>3299.01</v>
      </c>
    </row>
    <row r="3790" spans="32:34">
      <c r="AF3790" s="367">
        <f t="shared" si="59"/>
        <v>43586</v>
      </c>
      <c r="AG3790" s="368">
        <v>43600</v>
      </c>
      <c r="AH3790" s="370">
        <v>3285.14</v>
      </c>
    </row>
    <row r="3791" spans="32:34">
      <c r="AF3791" s="367">
        <f t="shared" si="59"/>
        <v>43586</v>
      </c>
      <c r="AG3791" s="368">
        <v>43601</v>
      </c>
      <c r="AH3791" s="370">
        <v>3295.51</v>
      </c>
    </row>
    <row r="3792" spans="32:34">
      <c r="AF3792" s="367">
        <f t="shared" si="59"/>
        <v>43586</v>
      </c>
      <c r="AG3792" s="368">
        <v>43602</v>
      </c>
      <c r="AH3792" s="370">
        <v>3290.27</v>
      </c>
    </row>
    <row r="3793" spans="32:34">
      <c r="AF3793" s="367">
        <f t="shared" si="59"/>
        <v>43586</v>
      </c>
      <c r="AG3793" s="368">
        <v>43603</v>
      </c>
      <c r="AH3793" s="370">
        <v>3313.72</v>
      </c>
    </row>
    <row r="3794" spans="32:34">
      <c r="AF3794" s="367">
        <f t="shared" si="59"/>
        <v>43586</v>
      </c>
      <c r="AG3794" s="368">
        <v>43604</v>
      </c>
      <c r="AH3794" s="370">
        <v>3313.72</v>
      </c>
    </row>
    <row r="3795" spans="32:34">
      <c r="AF3795" s="367">
        <f t="shared" si="59"/>
        <v>43586</v>
      </c>
      <c r="AG3795" s="368">
        <v>43605</v>
      </c>
      <c r="AH3795" s="370">
        <v>3313.72</v>
      </c>
    </row>
    <row r="3796" spans="32:34">
      <c r="AF3796" s="367">
        <f t="shared" si="59"/>
        <v>43586</v>
      </c>
      <c r="AG3796" s="368">
        <v>43606</v>
      </c>
      <c r="AH3796" s="370">
        <v>3342.21</v>
      </c>
    </row>
    <row r="3797" spans="32:34">
      <c r="AF3797" s="367">
        <f t="shared" si="59"/>
        <v>43586</v>
      </c>
      <c r="AG3797" s="368">
        <v>43607</v>
      </c>
      <c r="AH3797" s="370">
        <v>3344.45</v>
      </c>
    </row>
    <row r="3798" spans="32:34">
      <c r="AF3798" s="367">
        <f t="shared" si="59"/>
        <v>43586</v>
      </c>
      <c r="AG3798" s="368">
        <v>43608</v>
      </c>
      <c r="AH3798" s="370">
        <v>3340.96</v>
      </c>
    </row>
    <row r="3799" spans="32:34">
      <c r="AF3799" s="367">
        <f t="shared" si="59"/>
        <v>43586</v>
      </c>
      <c r="AG3799" s="368">
        <v>43609</v>
      </c>
      <c r="AH3799" s="370">
        <v>3368.76</v>
      </c>
    </row>
    <row r="3800" spans="32:34">
      <c r="AF3800" s="367">
        <f t="shared" si="59"/>
        <v>43586</v>
      </c>
      <c r="AG3800" s="368">
        <v>43610</v>
      </c>
      <c r="AH3800" s="370">
        <v>3358.84</v>
      </c>
    </row>
    <row r="3801" spans="32:34">
      <c r="AF3801" s="367">
        <f t="shared" si="59"/>
        <v>43586</v>
      </c>
      <c r="AG3801" s="368">
        <v>43611</v>
      </c>
      <c r="AH3801" s="370">
        <v>3358.84</v>
      </c>
    </row>
    <row r="3802" spans="32:34">
      <c r="AF3802" s="367">
        <f t="shared" si="59"/>
        <v>43586</v>
      </c>
      <c r="AG3802" s="368">
        <v>43612</v>
      </c>
      <c r="AH3802" s="370">
        <v>3358.84</v>
      </c>
    </row>
    <row r="3803" spans="32:34">
      <c r="AF3803" s="367">
        <f t="shared" si="59"/>
        <v>43586</v>
      </c>
      <c r="AG3803" s="368">
        <v>43613</v>
      </c>
      <c r="AH3803" s="370">
        <v>3358.84</v>
      </c>
    </row>
    <row r="3804" spans="32:34">
      <c r="AF3804" s="367">
        <f t="shared" si="59"/>
        <v>43586</v>
      </c>
      <c r="AG3804" s="368">
        <v>43614</v>
      </c>
      <c r="AH3804" s="370">
        <v>3362.48</v>
      </c>
    </row>
    <row r="3805" spans="32:34">
      <c r="AF3805" s="367">
        <f t="shared" si="59"/>
        <v>43586</v>
      </c>
      <c r="AG3805" s="368">
        <v>43615</v>
      </c>
      <c r="AH3805" s="370">
        <v>3375.29</v>
      </c>
    </row>
    <row r="3806" spans="32:34">
      <c r="AF3806" s="367">
        <f t="shared" si="59"/>
        <v>43586</v>
      </c>
      <c r="AG3806" s="368">
        <v>43616</v>
      </c>
      <c r="AH3806" s="370">
        <v>3357.82</v>
      </c>
    </row>
    <row r="3807" spans="32:34">
      <c r="AF3807" s="367">
        <f t="shared" si="59"/>
        <v>43617</v>
      </c>
      <c r="AG3807" s="368">
        <v>43617</v>
      </c>
      <c r="AH3807" s="370">
        <v>3377.16</v>
      </c>
    </row>
    <row r="3808" spans="32:34">
      <c r="AF3808" s="367">
        <f t="shared" si="59"/>
        <v>43617</v>
      </c>
      <c r="AG3808" s="368">
        <v>43618</v>
      </c>
      <c r="AH3808" s="370">
        <v>3377.16</v>
      </c>
    </row>
    <row r="3809" spans="32:34">
      <c r="AF3809" s="367">
        <f t="shared" si="59"/>
        <v>43617</v>
      </c>
      <c r="AG3809" s="368">
        <v>43619</v>
      </c>
      <c r="AH3809" s="370">
        <v>3377.16</v>
      </c>
    </row>
    <row r="3810" spans="32:34">
      <c r="AF3810" s="367">
        <f t="shared" si="59"/>
        <v>43617</v>
      </c>
      <c r="AG3810" s="368">
        <v>43620</v>
      </c>
      <c r="AH3810" s="370">
        <v>3377.16</v>
      </c>
    </row>
    <row r="3811" spans="32:34">
      <c r="AF3811" s="367">
        <f t="shared" si="59"/>
        <v>43617</v>
      </c>
      <c r="AG3811" s="368">
        <v>43621</v>
      </c>
      <c r="AH3811" s="370">
        <v>3306.37</v>
      </c>
    </row>
    <row r="3812" spans="32:34">
      <c r="AF3812" s="367">
        <f t="shared" si="59"/>
        <v>43617</v>
      </c>
      <c r="AG3812" s="368">
        <v>43622</v>
      </c>
      <c r="AH3812" s="370">
        <v>3296.87</v>
      </c>
    </row>
    <row r="3813" spans="32:34">
      <c r="AF3813" s="367">
        <f t="shared" si="59"/>
        <v>43617</v>
      </c>
      <c r="AG3813" s="368">
        <v>43623</v>
      </c>
      <c r="AH3813" s="370">
        <v>3288.69</v>
      </c>
    </row>
    <row r="3814" spans="32:34">
      <c r="AF3814" s="367">
        <f t="shared" si="59"/>
        <v>43617</v>
      </c>
      <c r="AG3814" s="368">
        <v>43624</v>
      </c>
      <c r="AH3814" s="370">
        <v>3274.72</v>
      </c>
    </row>
    <row r="3815" spans="32:34">
      <c r="AF3815" s="367">
        <f t="shared" si="59"/>
        <v>43617</v>
      </c>
      <c r="AG3815" s="368">
        <v>43625</v>
      </c>
      <c r="AH3815" s="370">
        <v>3274.72</v>
      </c>
    </row>
    <row r="3816" spans="32:34">
      <c r="AF3816" s="367">
        <f t="shared" si="59"/>
        <v>43617</v>
      </c>
      <c r="AG3816" s="368">
        <v>43626</v>
      </c>
      <c r="AH3816" s="370">
        <v>3274.72</v>
      </c>
    </row>
    <row r="3817" spans="32:34">
      <c r="AF3817" s="367">
        <f t="shared" si="59"/>
        <v>43617</v>
      </c>
      <c r="AG3817" s="368">
        <v>43627</v>
      </c>
      <c r="AH3817" s="370">
        <v>3257.06</v>
      </c>
    </row>
    <row r="3818" spans="32:34">
      <c r="AF3818" s="367">
        <f t="shared" si="59"/>
        <v>43617</v>
      </c>
      <c r="AG3818" s="368">
        <v>43628</v>
      </c>
      <c r="AH3818" s="370">
        <v>3249.56</v>
      </c>
    </row>
    <row r="3819" spans="32:34">
      <c r="AF3819" s="367">
        <f t="shared" si="59"/>
        <v>43617</v>
      </c>
      <c r="AG3819" s="368">
        <v>43629</v>
      </c>
      <c r="AH3819" s="370">
        <v>3264.47</v>
      </c>
    </row>
    <row r="3820" spans="32:34">
      <c r="AF3820" s="367">
        <f t="shared" si="59"/>
        <v>43617</v>
      </c>
      <c r="AG3820" s="368">
        <v>43630</v>
      </c>
      <c r="AH3820" s="370">
        <v>3266.72</v>
      </c>
    </row>
    <row r="3821" spans="32:34">
      <c r="AF3821" s="367">
        <f t="shared" si="59"/>
        <v>43617</v>
      </c>
      <c r="AG3821" s="368">
        <v>43631</v>
      </c>
      <c r="AH3821" s="370">
        <v>3270.7</v>
      </c>
    </row>
    <row r="3822" spans="32:34">
      <c r="AF3822" s="367">
        <f t="shared" si="59"/>
        <v>43617</v>
      </c>
      <c r="AG3822" s="368">
        <v>43632</v>
      </c>
      <c r="AH3822" s="370">
        <v>3270.7</v>
      </c>
    </row>
    <row r="3823" spans="32:34">
      <c r="AF3823" s="367">
        <f t="shared" si="59"/>
        <v>43617</v>
      </c>
      <c r="AG3823" s="368">
        <v>43633</v>
      </c>
      <c r="AH3823" s="370">
        <v>3270.7</v>
      </c>
    </row>
    <row r="3824" spans="32:34">
      <c r="AF3824" s="367">
        <f t="shared" si="59"/>
        <v>43617</v>
      </c>
      <c r="AG3824" s="368">
        <v>43634</v>
      </c>
      <c r="AH3824" s="370">
        <v>3286.63</v>
      </c>
    </row>
    <row r="3825" spans="32:34">
      <c r="AF3825" s="367">
        <f t="shared" si="59"/>
        <v>43617</v>
      </c>
      <c r="AG3825" s="368">
        <v>43635</v>
      </c>
      <c r="AH3825" s="370">
        <v>3264.98</v>
      </c>
    </row>
    <row r="3826" spans="32:34">
      <c r="AF3826" s="367">
        <f t="shared" si="59"/>
        <v>43617</v>
      </c>
      <c r="AG3826" s="368">
        <v>43636</v>
      </c>
      <c r="AH3826" s="370">
        <v>3248.91</v>
      </c>
    </row>
    <row r="3827" spans="32:34">
      <c r="AF3827" s="367">
        <f t="shared" si="59"/>
        <v>43617</v>
      </c>
      <c r="AG3827" s="368">
        <v>43637</v>
      </c>
      <c r="AH3827" s="370">
        <v>3202.01</v>
      </c>
    </row>
    <row r="3828" spans="32:34">
      <c r="AF3828" s="367">
        <f t="shared" si="59"/>
        <v>43617</v>
      </c>
      <c r="AG3828" s="368">
        <v>43638</v>
      </c>
      <c r="AH3828" s="370">
        <v>3191.17</v>
      </c>
    </row>
    <row r="3829" spans="32:34">
      <c r="AF3829" s="367">
        <f t="shared" si="59"/>
        <v>43617</v>
      </c>
      <c r="AG3829" s="368">
        <v>43639</v>
      </c>
      <c r="AH3829" s="370">
        <v>3191.17</v>
      </c>
    </row>
    <row r="3830" spans="32:34">
      <c r="AF3830" s="367">
        <f t="shared" si="59"/>
        <v>43617</v>
      </c>
      <c r="AG3830" s="368">
        <v>43640</v>
      </c>
      <c r="AH3830" s="370">
        <v>3191.17</v>
      </c>
    </row>
    <row r="3831" spans="32:34">
      <c r="AF3831" s="367">
        <f t="shared" si="59"/>
        <v>43617</v>
      </c>
      <c r="AG3831" s="368">
        <v>43641</v>
      </c>
      <c r="AH3831" s="370">
        <v>3191.17</v>
      </c>
    </row>
    <row r="3832" spans="32:34">
      <c r="AF3832" s="367">
        <f t="shared" si="59"/>
        <v>43617</v>
      </c>
      <c r="AG3832" s="368">
        <v>43642</v>
      </c>
      <c r="AH3832" s="370">
        <v>3187.15</v>
      </c>
    </row>
    <row r="3833" spans="32:34">
      <c r="AF3833" s="367">
        <f t="shared" si="59"/>
        <v>43617</v>
      </c>
      <c r="AG3833" s="368">
        <v>43643</v>
      </c>
      <c r="AH3833" s="370">
        <v>3177.94</v>
      </c>
    </row>
    <row r="3834" spans="32:34">
      <c r="AF3834" s="367">
        <f t="shared" si="59"/>
        <v>43617</v>
      </c>
      <c r="AG3834" s="368">
        <v>43644</v>
      </c>
      <c r="AH3834" s="370">
        <v>3197.23</v>
      </c>
    </row>
    <row r="3835" spans="32:34">
      <c r="AF3835" s="367">
        <f t="shared" si="59"/>
        <v>43617</v>
      </c>
      <c r="AG3835" s="368">
        <v>43645</v>
      </c>
      <c r="AH3835" s="370">
        <v>3205.67</v>
      </c>
    </row>
    <row r="3836" spans="32:34">
      <c r="AF3836" s="367">
        <f t="shared" si="59"/>
        <v>43617</v>
      </c>
      <c r="AG3836" s="368">
        <v>43646</v>
      </c>
      <c r="AH3836" s="370">
        <v>3205.67</v>
      </c>
    </row>
    <row r="3837" spans="32:34">
      <c r="AF3837" s="367">
        <f t="shared" si="59"/>
        <v>43647</v>
      </c>
      <c r="AG3837" s="368">
        <v>43647</v>
      </c>
      <c r="AH3837" s="370">
        <v>3205.67</v>
      </c>
    </row>
    <row r="3838" spans="32:34">
      <c r="AF3838" s="367">
        <f t="shared" si="59"/>
        <v>43647</v>
      </c>
      <c r="AG3838" s="368">
        <v>43648</v>
      </c>
      <c r="AH3838" s="370">
        <v>3205.67</v>
      </c>
    </row>
    <row r="3839" spans="32:34">
      <c r="AF3839" s="367">
        <f t="shared" si="59"/>
        <v>43647</v>
      </c>
      <c r="AG3839" s="368">
        <v>43649</v>
      </c>
      <c r="AH3839" s="370">
        <v>3211.06</v>
      </c>
    </row>
    <row r="3840" spans="32:34">
      <c r="AF3840" s="367">
        <f t="shared" si="59"/>
        <v>43647</v>
      </c>
      <c r="AG3840" s="368">
        <v>43650</v>
      </c>
      <c r="AH3840" s="370">
        <v>3206.92</v>
      </c>
    </row>
    <row r="3841" spans="32:34">
      <c r="AF3841" s="367">
        <f t="shared" si="59"/>
        <v>43647</v>
      </c>
      <c r="AG3841" s="368">
        <v>43651</v>
      </c>
      <c r="AH3841" s="370">
        <v>3206.92</v>
      </c>
    </row>
    <row r="3842" spans="32:34">
      <c r="AF3842" s="367">
        <f t="shared" si="59"/>
        <v>43647</v>
      </c>
      <c r="AG3842" s="368">
        <v>43652</v>
      </c>
      <c r="AH3842" s="370">
        <v>3217.18</v>
      </c>
    </row>
    <row r="3843" spans="32:34">
      <c r="AF3843" s="367">
        <f t="shared" si="59"/>
        <v>43647</v>
      </c>
      <c r="AG3843" s="368">
        <v>43653</v>
      </c>
      <c r="AH3843" s="370">
        <v>3217.18</v>
      </c>
    </row>
    <row r="3844" spans="32:34">
      <c r="AF3844" s="367">
        <f t="shared" ref="AF3844:AF3907" si="60">+DATE(YEAR(AG3844),MONTH(AG3844),1)</f>
        <v>43647</v>
      </c>
      <c r="AG3844" s="368">
        <v>43654</v>
      </c>
      <c r="AH3844" s="370">
        <v>3217.18</v>
      </c>
    </row>
    <row r="3845" spans="32:34">
      <c r="AF3845" s="367">
        <f t="shared" si="60"/>
        <v>43647</v>
      </c>
      <c r="AG3845" s="368">
        <v>43655</v>
      </c>
      <c r="AH3845" s="370">
        <v>3207.66</v>
      </c>
    </row>
    <row r="3846" spans="32:34">
      <c r="AF3846" s="367">
        <f t="shared" si="60"/>
        <v>43647</v>
      </c>
      <c r="AG3846" s="368">
        <v>43656</v>
      </c>
      <c r="AH3846" s="370">
        <v>3223.67</v>
      </c>
    </row>
    <row r="3847" spans="32:34">
      <c r="AF3847" s="367">
        <f t="shared" si="60"/>
        <v>43647</v>
      </c>
      <c r="AG3847" s="368">
        <v>43657</v>
      </c>
      <c r="AH3847" s="370">
        <v>3212.91</v>
      </c>
    </row>
    <row r="3848" spans="32:34">
      <c r="AF3848" s="367">
        <f t="shared" si="60"/>
        <v>43647</v>
      </c>
      <c r="AG3848" s="368">
        <v>43658</v>
      </c>
      <c r="AH3848" s="370">
        <v>3197.5</v>
      </c>
    </row>
    <row r="3849" spans="32:34">
      <c r="AF3849" s="367">
        <f t="shared" si="60"/>
        <v>43647</v>
      </c>
      <c r="AG3849" s="368">
        <v>43659</v>
      </c>
      <c r="AH3849" s="370">
        <v>3190.33</v>
      </c>
    </row>
    <row r="3850" spans="32:34">
      <c r="AF3850" s="367">
        <f t="shared" si="60"/>
        <v>43647</v>
      </c>
      <c r="AG3850" s="368">
        <v>43660</v>
      </c>
      <c r="AH3850" s="370">
        <v>3190.33</v>
      </c>
    </row>
    <row r="3851" spans="32:34">
      <c r="AF3851" s="367">
        <f t="shared" si="60"/>
        <v>43647</v>
      </c>
      <c r="AG3851" s="368">
        <v>43661</v>
      </c>
      <c r="AH3851" s="370">
        <v>3190.33</v>
      </c>
    </row>
    <row r="3852" spans="32:34">
      <c r="AF3852" s="367">
        <f t="shared" si="60"/>
        <v>43647</v>
      </c>
      <c r="AG3852" s="368">
        <v>43662</v>
      </c>
      <c r="AH3852" s="370">
        <v>3190.66</v>
      </c>
    </row>
    <row r="3853" spans="32:34">
      <c r="AF3853" s="367">
        <f t="shared" si="60"/>
        <v>43647</v>
      </c>
      <c r="AG3853" s="368">
        <v>43663</v>
      </c>
      <c r="AH3853" s="370">
        <v>3199.72</v>
      </c>
    </row>
    <row r="3854" spans="32:34">
      <c r="AF3854" s="367">
        <f t="shared" si="60"/>
        <v>43647</v>
      </c>
      <c r="AG3854" s="368">
        <v>43664</v>
      </c>
      <c r="AH3854" s="370">
        <v>3189.21</v>
      </c>
    </row>
    <row r="3855" spans="32:34">
      <c r="AF3855" s="367">
        <f t="shared" si="60"/>
        <v>43647</v>
      </c>
      <c r="AG3855" s="368">
        <v>43665</v>
      </c>
      <c r="AH3855" s="370">
        <v>3183.01</v>
      </c>
    </row>
    <row r="3856" spans="32:34">
      <c r="AF3856" s="367">
        <f t="shared" si="60"/>
        <v>43647</v>
      </c>
      <c r="AG3856" s="368">
        <v>43666</v>
      </c>
      <c r="AH3856" s="370">
        <v>3169.51</v>
      </c>
    </row>
    <row r="3857" spans="32:34">
      <c r="AF3857" s="367">
        <f t="shared" si="60"/>
        <v>43647</v>
      </c>
      <c r="AG3857" s="368">
        <v>43667</v>
      </c>
      <c r="AH3857" s="370">
        <v>3169.51</v>
      </c>
    </row>
    <row r="3858" spans="32:34">
      <c r="AF3858" s="367">
        <f t="shared" si="60"/>
        <v>43647</v>
      </c>
      <c r="AG3858" s="368">
        <v>43668</v>
      </c>
      <c r="AH3858" s="370">
        <v>3169.51</v>
      </c>
    </row>
    <row r="3859" spans="32:34">
      <c r="AF3859" s="367">
        <f t="shared" si="60"/>
        <v>43647</v>
      </c>
      <c r="AG3859" s="368">
        <v>43669</v>
      </c>
      <c r="AH3859" s="370">
        <v>3177.76</v>
      </c>
    </row>
    <row r="3860" spans="32:34">
      <c r="AF3860" s="367">
        <f t="shared" si="60"/>
        <v>43647</v>
      </c>
      <c r="AG3860" s="368">
        <v>43670</v>
      </c>
      <c r="AH3860" s="370">
        <v>3188.01</v>
      </c>
    </row>
    <row r="3861" spans="32:34">
      <c r="AF3861" s="367">
        <f t="shared" si="60"/>
        <v>43647</v>
      </c>
      <c r="AG3861" s="368">
        <v>43671</v>
      </c>
      <c r="AH3861" s="370">
        <v>3194.67</v>
      </c>
    </row>
    <row r="3862" spans="32:34">
      <c r="AF3862" s="367">
        <f t="shared" si="60"/>
        <v>43647</v>
      </c>
      <c r="AG3862" s="368">
        <v>43672</v>
      </c>
      <c r="AH3862" s="370">
        <v>3213.09</v>
      </c>
    </row>
    <row r="3863" spans="32:34">
      <c r="AF3863" s="367">
        <f t="shared" si="60"/>
        <v>43647</v>
      </c>
      <c r="AG3863" s="368">
        <v>43673</v>
      </c>
      <c r="AH3863" s="370">
        <v>3233.26</v>
      </c>
    </row>
    <row r="3864" spans="32:34">
      <c r="AF3864" s="367">
        <f t="shared" si="60"/>
        <v>43647</v>
      </c>
      <c r="AG3864" s="368">
        <v>43674</v>
      </c>
      <c r="AH3864" s="370">
        <v>3233.26</v>
      </c>
    </row>
    <row r="3865" spans="32:34">
      <c r="AF3865" s="367">
        <f t="shared" si="60"/>
        <v>43647</v>
      </c>
      <c r="AG3865" s="368">
        <v>43675</v>
      </c>
      <c r="AH3865" s="370">
        <v>3233.26</v>
      </c>
    </row>
    <row r="3866" spans="32:34">
      <c r="AF3866" s="367">
        <f t="shared" si="60"/>
        <v>43647</v>
      </c>
      <c r="AG3866" s="368">
        <v>43676</v>
      </c>
      <c r="AH3866" s="370">
        <v>3262.81</v>
      </c>
    </row>
    <row r="3867" spans="32:34">
      <c r="AF3867" s="367">
        <f t="shared" si="60"/>
        <v>43647</v>
      </c>
      <c r="AG3867" s="368">
        <v>43677</v>
      </c>
      <c r="AH3867" s="370">
        <v>3296.85</v>
      </c>
    </row>
    <row r="3868" spans="32:34">
      <c r="AF3868" s="367">
        <f t="shared" si="60"/>
        <v>43678</v>
      </c>
      <c r="AG3868" s="368">
        <v>43678</v>
      </c>
      <c r="AH3868" s="370">
        <v>3291.79</v>
      </c>
    </row>
    <row r="3869" spans="32:34">
      <c r="AF3869" s="367">
        <f t="shared" si="60"/>
        <v>43678</v>
      </c>
      <c r="AG3869" s="368">
        <v>43679</v>
      </c>
      <c r="AH3869" s="370">
        <v>3329.23</v>
      </c>
    </row>
    <row r="3870" spans="32:34">
      <c r="AF3870" s="367">
        <f t="shared" si="60"/>
        <v>43678</v>
      </c>
      <c r="AG3870" s="368">
        <v>43680</v>
      </c>
      <c r="AH3870" s="370">
        <v>3365.78</v>
      </c>
    </row>
    <row r="3871" spans="32:34">
      <c r="AF3871" s="367">
        <f t="shared" si="60"/>
        <v>43678</v>
      </c>
      <c r="AG3871" s="368">
        <v>43681</v>
      </c>
      <c r="AH3871" s="370">
        <v>3365.78</v>
      </c>
    </row>
    <row r="3872" spans="32:34">
      <c r="AF3872" s="367">
        <f t="shared" si="60"/>
        <v>43678</v>
      </c>
      <c r="AG3872" s="368">
        <v>43682</v>
      </c>
      <c r="AH3872" s="370">
        <v>3365.78</v>
      </c>
    </row>
    <row r="3873" spans="32:34">
      <c r="AF3873" s="367">
        <f t="shared" si="60"/>
        <v>43678</v>
      </c>
      <c r="AG3873" s="368">
        <v>43683</v>
      </c>
      <c r="AH3873" s="370">
        <v>3459.47</v>
      </c>
    </row>
    <row r="3874" spans="32:34">
      <c r="AF3874" s="367">
        <f t="shared" si="60"/>
        <v>43678</v>
      </c>
      <c r="AG3874" s="368">
        <v>43684</v>
      </c>
      <c r="AH3874" s="370">
        <v>3431.28</v>
      </c>
    </row>
    <row r="3875" spans="32:34">
      <c r="AF3875" s="367">
        <f t="shared" si="60"/>
        <v>43678</v>
      </c>
      <c r="AG3875" s="368">
        <v>43685</v>
      </c>
      <c r="AH3875" s="370">
        <v>3431.28</v>
      </c>
    </row>
    <row r="3876" spans="32:34">
      <c r="AF3876" s="367">
        <f t="shared" si="60"/>
        <v>43678</v>
      </c>
      <c r="AG3876" s="368">
        <v>43686</v>
      </c>
      <c r="AH3876" s="370">
        <v>3394.61</v>
      </c>
    </row>
    <row r="3877" spans="32:34">
      <c r="AF3877" s="367">
        <f t="shared" si="60"/>
        <v>43678</v>
      </c>
      <c r="AG3877" s="368">
        <v>43687</v>
      </c>
      <c r="AH3877" s="370">
        <v>3382.71</v>
      </c>
    </row>
    <row r="3878" spans="32:34">
      <c r="AF3878" s="367">
        <f t="shared" si="60"/>
        <v>43678</v>
      </c>
      <c r="AG3878" s="368">
        <v>43688</v>
      </c>
      <c r="AH3878" s="370">
        <v>3382.71</v>
      </c>
    </row>
    <row r="3879" spans="32:34">
      <c r="AF3879" s="367">
        <f t="shared" si="60"/>
        <v>43678</v>
      </c>
      <c r="AG3879" s="368">
        <v>43689</v>
      </c>
      <c r="AH3879" s="370">
        <v>3382.71</v>
      </c>
    </row>
    <row r="3880" spans="32:34">
      <c r="AF3880" s="367">
        <f t="shared" si="60"/>
        <v>43678</v>
      </c>
      <c r="AG3880" s="368">
        <v>43690</v>
      </c>
      <c r="AH3880" s="370">
        <v>3436.26</v>
      </c>
    </row>
    <row r="3881" spans="32:34">
      <c r="AF3881" s="367">
        <f t="shared" si="60"/>
        <v>43678</v>
      </c>
      <c r="AG3881" s="368">
        <v>43691</v>
      </c>
      <c r="AH3881" s="370">
        <v>3407.76</v>
      </c>
    </row>
    <row r="3882" spans="32:34">
      <c r="AF3882" s="367">
        <f t="shared" si="60"/>
        <v>43678</v>
      </c>
      <c r="AG3882" s="368">
        <v>43692</v>
      </c>
      <c r="AH3882" s="370">
        <v>3449.27</v>
      </c>
    </row>
    <row r="3883" spans="32:34">
      <c r="AF3883" s="367">
        <f t="shared" si="60"/>
        <v>43678</v>
      </c>
      <c r="AG3883" s="368">
        <v>43693</v>
      </c>
      <c r="AH3883" s="370">
        <v>3447.76</v>
      </c>
    </row>
    <row r="3884" spans="32:34">
      <c r="AF3884" s="367">
        <f t="shared" si="60"/>
        <v>43678</v>
      </c>
      <c r="AG3884" s="368">
        <v>43694</v>
      </c>
      <c r="AH3884" s="370">
        <v>3441.4</v>
      </c>
    </row>
    <row r="3885" spans="32:34">
      <c r="AF3885" s="367">
        <f t="shared" si="60"/>
        <v>43678</v>
      </c>
      <c r="AG3885" s="368">
        <v>43695</v>
      </c>
      <c r="AH3885" s="370">
        <v>3441.4</v>
      </c>
    </row>
    <row r="3886" spans="32:34">
      <c r="AF3886" s="367">
        <f t="shared" si="60"/>
        <v>43678</v>
      </c>
      <c r="AG3886" s="368">
        <v>43696</v>
      </c>
      <c r="AH3886" s="370">
        <v>3441.4</v>
      </c>
    </row>
    <row r="3887" spans="32:34">
      <c r="AF3887" s="367">
        <f t="shared" si="60"/>
        <v>43678</v>
      </c>
      <c r="AG3887" s="368">
        <v>43697</v>
      </c>
      <c r="AH3887" s="370">
        <v>3441.4</v>
      </c>
    </row>
    <row r="3888" spans="32:34">
      <c r="AF3888" s="367">
        <f t="shared" si="60"/>
        <v>43678</v>
      </c>
      <c r="AG3888" s="368">
        <v>43698</v>
      </c>
      <c r="AH3888" s="370">
        <v>3420.99</v>
      </c>
    </row>
    <row r="3889" spans="32:34">
      <c r="AF3889" s="367">
        <f t="shared" si="60"/>
        <v>43678</v>
      </c>
      <c r="AG3889" s="368">
        <v>43699</v>
      </c>
      <c r="AH3889" s="370">
        <v>3385.28</v>
      </c>
    </row>
    <row r="3890" spans="32:34">
      <c r="AF3890" s="367">
        <f t="shared" si="60"/>
        <v>43678</v>
      </c>
      <c r="AG3890" s="368">
        <v>43700</v>
      </c>
      <c r="AH3890" s="370">
        <v>3376.99</v>
      </c>
    </row>
    <row r="3891" spans="32:34">
      <c r="AF3891" s="367">
        <f t="shared" si="60"/>
        <v>43678</v>
      </c>
      <c r="AG3891" s="368">
        <v>43701</v>
      </c>
      <c r="AH3891" s="370">
        <v>3399.95</v>
      </c>
    </row>
    <row r="3892" spans="32:34">
      <c r="AF3892" s="367">
        <f t="shared" si="60"/>
        <v>43678</v>
      </c>
      <c r="AG3892" s="368">
        <v>43702</v>
      </c>
      <c r="AH3892" s="370">
        <v>3399.95</v>
      </c>
    </row>
    <row r="3893" spans="32:34">
      <c r="AF3893" s="367">
        <f t="shared" si="60"/>
        <v>43678</v>
      </c>
      <c r="AG3893" s="368">
        <v>43703</v>
      </c>
      <c r="AH3893" s="370">
        <v>3399.95</v>
      </c>
    </row>
    <row r="3894" spans="32:34">
      <c r="AF3894" s="367">
        <f t="shared" si="60"/>
        <v>43678</v>
      </c>
      <c r="AG3894" s="368">
        <v>43704</v>
      </c>
      <c r="AH3894" s="370">
        <v>3432.85</v>
      </c>
    </row>
    <row r="3895" spans="32:34">
      <c r="AF3895" s="367">
        <f t="shared" si="60"/>
        <v>43678</v>
      </c>
      <c r="AG3895" s="368">
        <v>43705</v>
      </c>
      <c r="AH3895" s="370">
        <v>3457.89</v>
      </c>
    </row>
    <row r="3896" spans="32:34">
      <c r="AF3896" s="367">
        <f t="shared" si="60"/>
        <v>43678</v>
      </c>
      <c r="AG3896" s="368">
        <v>43706</v>
      </c>
      <c r="AH3896" s="370">
        <v>3477.53</v>
      </c>
    </row>
    <row r="3897" spans="32:34">
      <c r="AF3897" s="367">
        <f t="shared" si="60"/>
        <v>43678</v>
      </c>
      <c r="AG3897" s="368">
        <v>43707</v>
      </c>
      <c r="AH3897" s="370">
        <v>3464.15</v>
      </c>
    </row>
    <row r="3898" spans="32:34">
      <c r="AF3898" s="367">
        <f t="shared" si="60"/>
        <v>43678</v>
      </c>
      <c r="AG3898" s="368">
        <v>43708</v>
      </c>
      <c r="AH3898" s="370">
        <v>3427.29</v>
      </c>
    </row>
    <row r="3899" spans="32:34">
      <c r="AF3899" s="367">
        <f t="shared" si="60"/>
        <v>43709</v>
      </c>
      <c r="AG3899" s="368">
        <v>43709</v>
      </c>
      <c r="AH3899" s="370">
        <v>3427.29</v>
      </c>
    </row>
    <row r="3900" spans="32:34">
      <c r="AF3900" s="367">
        <f t="shared" si="60"/>
        <v>43709</v>
      </c>
      <c r="AG3900" s="368">
        <v>43710</v>
      </c>
      <c r="AH3900" s="370">
        <v>3427.29</v>
      </c>
    </row>
    <row r="3901" spans="32:34">
      <c r="AF3901" s="367">
        <f t="shared" si="60"/>
        <v>43709</v>
      </c>
      <c r="AG3901" s="368">
        <v>43711</v>
      </c>
      <c r="AH3901" s="370">
        <v>3427.29</v>
      </c>
    </row>
    <row r="3902" spans="32:34">
      <c r="AF3902" s="367">
        <f t="shared" si="60"/>
        <v>43709</v>
      </c>
      <c r="AG3902" s="368">
        <v>43712</v>
      </c>
      <c r="AH3902" s="370">
        <v>3438.61</v>
      </c>
    </row>
    <row r="3903" spans="32:34">
      <c r="AF3903" s="367">
        <f t="shared" si="60"/>
        <v>43709</v>
      </c>
      <c r="AG3903" s="368">
        <v>43713</v>
      </c>
      <c r="AH3903" s="370">
        <v>3401.04</v>
      </c>
    </row>
    <row r="3904" spans="32:34">
      <c r="AF3904" s="367">
        <f t="shared" si="60"/>
        <v>43709</v>
      </c>
      <c r="AG3904" s="368">
        <v>43714</v>
      </c>
      <c r="AH3904" s="370">
        <v>3377.39</v>
      </c>
    </row>
    <row r="3905" spans="32:34">
      <c r="AF3905" s="367">
        <f t="shared" si="60"/>
        <v>43709</v>
      </c>
      <c r="AG3905" s="368">
        <v>43715</v>
      </c>
      <c r="AH3905" s="370">
        <v>3361.7</v>
      </c>
    </row>
    <row r="3906" spans="32:34">
      <c r="AF3906" s="367">
        <f t="shared" si="60"/>
        <v>43709</v>
      </c>
      <c r="AG3906" s="368">
        <v>43716</v>
      </c>
      <c r="AH3906" s="370">
        <v>3361.7</v>
      </c>
    </row>
    <row r="3907" spans="32:34">
      <c r="AF3907" s="367">
        <f t="shared" si="60"/>
        <v>43709</v>
      </c>
      <c r="AG3907" s="368">
        <v>43717</v>
      </c>
      <c r="AH3907" s="370">
        <v>3361.7</v>
      </c>
    </row>
    <row r="3908" spans="32:34">
      <c r="AF3908" s="367">
        <f t="shared" ref="AF3908:AF3971" si="61">+DATE(YEAR(AG3908),MONTH(AG3908),1)</f>
        <v>43709</v>
      </c>
      <c r="AG3908" s="368">
        <v>43718</v>
      </c>
      <c r="AH3908" s="370">
        <v>3368.8</v>
      </c>
    </row>
    <row r="3909" spans="32:34">
      <c r="AF3909" s="367">
        <f t="shared" si="61"/>
        <v>43709</v>
      </c>
      <c r="AG3909" s="368">
        <v>43719</v>
      </c>
      <c r="AH3909" s="370">
        <v>3373.75</v>
      </c>
    </row>
    <row r="3910" spans="32:34">
      <c r="AF3910" s="367">
        <f t="shared" si="61"/>
        <v>43709</v>
      </c>
      <c r="AG3910" s="368">
        <v>43720</v>
      </c>
      <c r="AH3910" s="370">
        <v>3372.48</v>
      </c>
    </row>
    <row r="3911" spans="32:34">
      <c r="AF3911" s="367">
        <f t="shared" si="61"/>
        <v>43709</v>
      </c>
      <c r="AG3911" s="368">
        <v>43721</v>
      </c>
      <c r="AH3911" s="370">
        <v>3359.2</v>
      </c>
    </row>
    <row r="3912" spans="32:34">
      <c r="AF3912" s="367">
        <f t="shared" si="61"/>
        <v>43709</v>
      </c>
      <c r="AG3912" s="368">
        <v>43722</v>
      </c>
      <c r="AH3912" s="370">
        <v>3356.15</v>
      </c>
    </row>
    <row r="3913" spans="32:34">
      <c r="AF3913" s="367">
        <f t="shared" si="61"/>
        <v>43709</v>
      </c>
      <c r="AG3913" s="368">
        <v>43723</v>
      </c>
      <c r="AH3913" s="370">
        <v>3356.15</v>
      </c>
    </row>
    <row r="3914" spans="32:34">
      <c r="AF3914" s="367">
        <f t="shared" si="61"/>
        <v>43709</v>
      </c>
      <c r="AG3914" s="368">
        <v>43724</v>
      </c>
      <c r="AH3914" s="370">
        <v>3356.15</v>
      </c>
    </row>
    <row r="3915" spans="32:34">
      <c r="AF3915" s="367">
        <f t="shared" si="61"/>
        <v>43709</v>
      </c>
      <c r="AG3915" s="368">
        <v>43725</v>
      </c>
      <c r="AH3915" s="370">
        <v>3364.43</v>
      </c>
    </row>
    <row r="3916" spans="32:34">
      <c r="AF3916" s="367">
        <f t="shared" si="61"/>
        <v>43709</v>
      </c>
      <c r="AG3916" s="368">
        <v>43726</v>
      </c>
      <c r="AH3916" s="370">
        <v>3380.92</v>
      </c>
    </row>
    <row r="3917" spans="32:34">
      <c r="AF3917" s="367">
        <f t="shared" si="61"/>
        <v>43709</v>
      </c>
      <c r="AG3917" s="368">
        <v>43727</v>
      </c>
      <c r="AH3917" s="370">
        <v>3377.79</v>
      </c>
    </row>
    <row r="3918" spans="32:34">
      <c r="AF3918" s="367">
        <f t="shared" si="61"/>
        <v>43709</v>
      </c>
      <c r="AG3918" s="368">
        <v>43728</v>
      </c>
      <c r="AH3918" s="370">
        <v>3377.72</v>
      </c>
    </row>
    <row r="3919" spans="32:34">
      <c r="AF3919" s="367">
        <f t="shared" si="61"/>
        <v>43709</v>
      </c>
      <c r="AG3919" s="368">
        <v>43729</v>
      </c>
      <c r="AH3919" s="370">
        <v>3402.32</v>
      </c>
    </row>
    <row r="3920" spans="32:34">
      <c r="AF3920" s="367">
        <f t="shared" si="61"/>
        <v>43709</v>
      </c>
      <c r="AG3920" s="368">
        <v>43730</v>
      </c>
      <c r="AH3920" s="370">
        <v>3402.32</v>
      </c>
    </row>
    <row r="3921" spans="32:34">
      <c r="AF3921" s="367">
        <f t="shared" si="61"/>
        <v>43709</v>
      </c>
      <c r="AG3921" s="368">
        <v>43731</v>
      </c>
      <c r="AH3921" s="370">
        <v>3402.32</v>
      </c>
    </row>
    <row r="3922" spans="32:34">
      <c r="AF3922" s="367">
        <f t="shared" si="61"/>
        <v>43709</v>
      </c>
      <c r="AG3922" s="368">
        <v>43732</v>
      </c>
      <c r="AH3922" s="370">
        <v>3437.78</v>
      </c>
    </row>
    <row r="3923" spans="32:34">
      <c r="AF3923" s="367">
        <f t="shared" si="61"/>
        <v>43709</v>
      </c>
      <c r="AG3923" s="368">
        <v>43733</v>
      </c>
      <c r="AH3923" s="370">
        <v>3438.66</v>
      </c>
    </row>
    <row r="3924" spans="32:34">
      <c r="AF3924" s="367">
        <f t="shared" si="61"/>
        <v>43709</v>
      </c>
      <c r="AG3924" s="368">
        <v>43734</v>
      </c>
      <c r="AH3924" s="370">
        <v>3451.02</v>
      </c>
    </row>
    <row r="3925" spans="32:34">
      <c r="AF3925" s="367">
        <f t="shared" si="61"/>
        <v>43709</v>
      </c>
      <c r="AG3925" s="368">
        <v>43735</v>
      </c>
      <c r="AH3925" s="370">
        <v>3435.71</v>
      </c>
    </row>
    <row r="3926" spans="32:34">
      <c r="AF3926" s="367">
        <f t="shared" si="61"/>
        <v>43709</v>
      </c>
      <c r="AG3926" s="368">
        <v>43736</v>
      </c>
      <c r="AH3926" s="370">
        <v>3462.01</v>
      </c>
    </row>
    <row r="3927" spans="32:34">
      <c r="AF3927" s="367">
        <f t="shared" si="61"/>
        <v>43709</v>
      </c>
      <c r="AG3927" s="368">
        <v>43737</v>
      </c>
      <c r="AH3927" s="370">
        <v>3462.01</v>
      </c>
    </row>
    <row r="3928" spans="32:34">
      <c r="AF3928" s="367">
        <f t="shared" si="61"/>
        <v>43709</v>
      </c>
      <c r="AG3928" s="368">
        <v>43738</v>
      </c>
      <c r="AH3928" s="370">
        <v>3462.01</v>
      </c>
    </row>
    <row r="3929" spans="32:34">
      <c r="AF3929" s="367">
        <f t="shared" si="61"/>
        <v>43739</v>
      </c>
      <c r="AG3929" s="368">
        <v>43739</v>
      </c>
      <c r="AH3929" s="370">
        <v>3477.45</v>
      </c>
    </row>
    <row r="3930" spans="32:34">
      <c r="AF3930" s="367">
        <f t="shared" si="61"/>
        <v>43739</v>
      </c>
      <c r="AG3930" s="368">
        <v>43740</v>
      </c>
      <c r="AH3930" s="370">
        <v>3491.29</v>
      </c>
    </row>
    <row r="3931" spans="32:34">
      <c r="AF3931" s="367">
        <f t="shared" si="61"/>
        <v>43739</v>
      </c>
      <c r="AG3931" s="368">
        <v>43741</v>
      </c>
      <c r="AH3931" s="370">
        <v>3497.34</v>
      </c>
    </row>
    <row r="3932" spans="32:34">
      <c r="AF3932" s="367">
        <f t="shared" si="61"/>
        <v>43739</v>
      </c>
      <c r="AG3932" s="368">
        <v>43742</v>
      </c>
      <c r="AH3932" s="370">
        <v>3467.6</v>
      </c>
    </row>
    <row r="3933" spans="32:34">
      <c r="AF3933" s="367">
        <f t="shared" si="61"/>
        <v>43739</v>
      </c>
      <c r="AG3933" s="368">
        <v>43743</v>
      </c>
      <c r="AH3933" s="370">
        <v>3430.28</v>
      </c>
    </row>
    <row r="3934" spans="32:34">
      <c r="AF3934" s="367">
        <f t="shared" si="61"/>
        <v>43739</v>
      </c>
      <c r="AG3934" s="368">
        <v>43744</v>
      </c>
      <c r="AH3934" s="370">
        <v>3430.28</v>
      </c>
    </row>
    <row r="3935" spans="32:34">
      <c r="AF3935" s="367">
        <f t="shared" si="61"/>
        <v>43739</v>
      </c>
      <c r="AG3935" s="368">
        <v>43745</v>
      </c>
      <c r="AH3935" s="370">
        <v>3430.28</v>
      </c>
    </row>
    <row r="3936" spans="32:34">
      <c r="AF3936" s="367">
        <f t="shared" si="61"/>
        <v>43739</v>
      </c>
      <c r="AG3936" s="368">
        <v>43746</v>
      </c>
      <c r="AH3936" s="370">
        <v>3445.76</v>
      </c>
    </row>
    <row r="3937" spans="32:34">
      <c r="AF3937" s="367">
        <f t="shared" si="61"/>
        <v>43739</v>
      </c>
      <c r="AG3937" s="368">
        <v>43747</v>
      </c>
      <c r="AH3937" s="370">
        <v>3452.57</v>
      </c>
    </row>
    <row r="3938" spans="32:34">
      <c r="AF3938" s="367">
        <f t="shared" si="61"/>
        <v>43739</v>
      </c>
      <c r="AG3938" s="368">
        <v>43748</v>
      </c>
      <c r="AH3938" s="370">
        <v>3454.56</v>
      </c>
    </row>
    <row r="3939" spans="32:34">
      <c r="AF3939" s="367">
        <f t="shared" si="61"/>
        <v>43739</v>
      </c>
      <c r="AG3939" s="368">
        <v>43749</v>
      </c>
      <c r="AH3939" s="370">
        <v>3458.42</v>
      </c>
    </row>
    <row r="3940" spans="32:34">
      <c r="AF3940" s="367">
        <f t="shared" si="61"/>
        <v>43739</v>
      </c>
      <c r="AG3940" s="368">
        <v>43750</v>
      </c>
      <c r="AH3940" s="370">
        <v>3431.46</v>
      </c>
    </row>
    <row r="3941" spans="32:34">
      <c r="AF3941" s="367">
        <f t="shared" si="61"/>
        <v>43739</v>
      </c>
      <c r="AG3941" s="368">
        <v>43751</v>
      </c>
      <c r="AH3941" s="370">
        <v>3431.46</v>
      </c>
    </row>
    <row r="3942" spans="32:34">
      <c r="AF3942" s="367">
        <f t="shared" si="61"/>
        <v>43739</v>
      </c>
      <c r="AG3942" s="368">
        <v>43752</v>
      </c>
      <c r="AH3942" s="370">
        <v>3431.46</v>
      </c>
    </row>
    <row r="3943" spans="32:34">
      <c r="AF3943" s="367">
        <f t="shared" si="61"/>
        <v>43739</v>
      </c>
      <c r="AG3943" s="368">
        <v>43753</v>
      </c>
      <c r="AH3943" s="370">
        <v>3431.46</v>
      </c>
    </row>
    <row r="3944" spans="32:34">
      <c r="AF3944" s="367">
        <f t="shared" si="61"/>
        <v>43739</v>
      </c>
      <c r="AG3944" s="368">
        <v>43754</v>
      </c>
      <c r="AH3944" s="370">
        <v>3451.33</v>
      </c>
    </row>
    <row r="3945" spans="32:34">
      <c r="AF3945" s="367">
        <f t="shared" si="61"/>
        <v>43739</v>
      </c>
      <c r="AG3945" s="368">
        <v>43755</v>
      </c>
      <c r="AH3945" s="370">
        <v>3459.55</v>
      </c>
    </row>
    <row r="3946" spans="32:34">
      <c r="AF3946" s="367">
        <f t="shared" si="61"/>
        <v>43739</v>
      </c>
      <c r="AG3946" s="368">
        <v>43756</v>
      </c>
      <c r="AH3946" s="370">
        <v>3465.35</v>
      </c>
    </row>
    <row r="3947" spans="32:34">
      <c r="AF3947" s="367">
        <f t="shared" si="61"/>
        <v>43739</v>
      </c>
      <c r="AG3947" s="368">
        <v>43757</v>
      </c>
      <c r="AH3947" s="370">
        <v>3428.63</v>
      </c>
    </row>
    <row r="3948" spans="32:34">
      <c r="AF3948" s="367">
        <f t="shared" si="61"/>
        <v>43739</v>
      </c>
      <c r="AG3948" s="368">
        <v>43758</v>
      </c>
      <c r="AH3948" s="370">
        <v>3428.63</v>
      </c>
    </row>
    <row r="3949" spans="32:34">
      <c r="AF3949" s="367">
        <f t="shared" si="61"/>
        <v>43739</v>
      </c>
      <c r="AG3949" s="368">
        <v>43759</v>
      </c>
      <c r="AH3949" s="370">
        <v>3428.63</v>
      </c>
    </row>
    <row r="3950" spans="32:34">
      <c r="AF3950" s="367">
        <f t="shared" si="61"/>
        <v>43739</v>
      </c>
      <c r="AG3950" s="368">
        <v>43760</v>
      </c>
      <c r="AH3950" s="370">
        <v>3442.78</v>
      </c>
    </row>
    <row r="3951" spans="32:34">
      <c r="AF3951" s="367">
        <f t="shared" si="61"/>
        <v>43739</v>
      </c>
      <c r="AG3951" s="368">
        <v>43761</v>
      </c>
      <c r="AH3951" s="370">
        <v>3430.3</v>
      </c>
    </row>
    <row r="3952" spans="32:34">
      <c r="AF3952" s="367">
        <f t="shared" si="61"/>
        <v>43739</v>
      </c>
      <c r="AG3952" s="368">
        <v>43762</v>
      </c>
      <c r="AH3952" s="370">
        <v>3409.29</v>
      </c>
    </row>
    <row r="3953" spans="32:34">
      <c r="AF3953" s="367">
        <f t="shared" si="61"/>
        <v>43739</v>
      </c>
      <c r="AG3953" s="368">
        <v>43763</v>
      </c>
      <c r="AH3953" s="370">
        <v>3387.72</v>
      </c>
    </row>
    <row r="3954" spans="32:34">
      <c r="AF3954" s="367">
        <f t="shared" si="61"/>
        <v>43739</v>
      </c>
      <c r="AG3954" s="368">
        <v>43764</v>
      </c>
      <c r="AH3954" s="370">
        <v>3395.25</v>
      </c>
    </row>
    <row r="3955" spans="32:34">
      <c r="AF3955" s="367">
        <f t="shared" si="61"/>
        <v>43739</v>
      </c>
      <c r="AG3955" s="368">
        <v>43765</v>
      </c>
      <c r="AH3955" s="370">
        <v>3395.25</v>
      </c>
    </row>
    <row r="3956" spans="32:34">
      <c r="AF3956" s="367">
        <f t="shared" si="61"/>
        <v>43739</v>
      </c>
      <c r="AG3956" s="368">
        <v>43766</v>
      </c>
      <c r="AH3956" s="370">
        <v>3395.25</v>
      </c>
    </row>
    <row r="3957" spans="32:34">
      <c r="AF3957" s="367">
        <f t="shared" si="61"/>
        <v>43739</v>
      </c>
      <c r="AG3957" s="368">
        <v>43767</v>
      </c>
      <c r="AH3957" s="370">
        <v>3382.19</v>
      </c>
    </row>
    <row r="3958" spans="32:34">
      <c r="AF3958" s="367">
        <f t="shared" si="61"/>
        <v>43739</v>
      </c>
      <c r="AG3958" s="368">
        <v>43768</v>
      </c>
      <c r="AH3958" s="370">
        <v>3380.9</v>
      </c>
    </row>
    <row r="3959" spans="32:34">
      <c r="AF3959" s="367">
        <f t="shared" si="61"/>
        <v>43739</v>
      </c>
      <c r="AG3959" s="368">
        <v>43769</v>
      </c>
      <c r="AH3959" s="370">
        <v>3389.94</v>
      </c>
    </row>
    <row r="3960" spans="32:34">
      <c r="AF3960" s="367">
        <f t="shared" si="61"/>
        <v>43770</v>
      </c>
      <c r="AG3960" s="368">
        <v>43770</v>
      </c>
      <c r="AH3960" s="370">
        <v>3383.29</v>
      </c>
    </row>
    <row r="3961" spans="32:34">
      <c r="AF3961" s="367">
        <f t="shared" si="61"/>
        <v>43770</v>
      </c>
      <c r="AG3961" s="368">
        <v>43771</v>
      </c>
      <c r="AH3961" s="370">
        <v>3339.19</v>
      </c>
    </row>
    <row r="3962" spans="32:34">
      <c r="AF3962" s="367">
        <f t="shared" si="61"/>
        <v>43770</v>
      </c>
      <c r="AG3962" s="368">
        <v>43772</v>
      </c>
      <c r="AH3962" s="370">
        <v>3339.19</v>
      </c>
    </row>
    <row r="3963" spans="32:34">
      <c r="AF3963" s="367">
        <f t="shared" si="61"/>
        <v>43770</v>
      </c>
      <c r="AG3963" s="368">
        <v>43773</v>
      </c>
      <c r="AH3963" s="370">
        <v>3339.19</v>
      </c>
    </row>
    <row r="3964" spans="32:34">
      <c r="AF3964" s="367">
        <f t="shared" si="61"/>
        <v>43770</v>
      </c>
      <c r="AG3964" s="368">
        <v>43774</v>
      </c>
      <c r="AH3964" s="370">
        <v>3339.19</v>
      </c>
    </row>
    <row r="3965" spans="32:34">
      <c r="AF3965" s="367">
        <f t="shared" si="61"/>
        <v>43770</v>
      </c>
      <c r="AG3965" s="368">
        <v>43775</v>
      </c>
      <c r="AH3965" s="370">
        <v>3318.47</v>
      </c>
    </row>
    <row r="3966" spans="32:34">
      <c r="AF3966" s="367">
        <f t="shared" si="61"/>
        <v>43770</v>
      </c>
      <c r="AG3966" s="368">
        <v>43776</v>
      </c>
      <c r="AH3966" s="370">
        <v>3319.64</v>
      </c>
    </row>
    <row r="3967" spans="32:34">
      <c r="AF3967" s="367">
        <f t="shared" si="61"/>
        <v>43770</v>
      </c>
      <c r="AG3967" s="368">
        <v>43777</v>
      </c>
      <c r="AH3967" s="370">
        <v>3327.02</v>
      </c>
    </row>
    <row r="3968" spans="32:34">
      <c r="AF3968" s="367">
        <f t="shared" si="61"/>
        <v>43770</v>
      </c>
      <c r="AG3968" s="368">
        <v>43778</v>
      </c>
      <c r="AH3968" s="370">
        <v>3341.01</v>
      </c>
    </row>
    <row r="3969" spans="32:34">
      <c r="AF3969" s="367">
        <f t="shared" si="61"/>
        <v>43770</v>
      </c>
      <c r="AG3969" s="368">
        <v>43779</v>
      </c>
      <c r="AH3969" s="370">
        <v>3341.01</v>
      </c>
    </row>
    <row r="3970" spans="32:34">
      <c r="AF3970" s="367">
        <f t="shared" si="61"/>
        <v>43770</v>
      </c>
      <c r="AG3970" s="368">
        <v>43780</v>
      </c>
      <c r="AH3970" s="370">
        <v>3341.01</v>
      </c>
    </row>
    <row r="3971" spans="32:34">
      <c r="AF3971" s="367">
        <f t="shared" si="61"/>
        <v>43770</v>
      </c>
      <c r="AG3971" s="368">
        <v>43781</v>
      </c>
      <c r="AH3971" s="370">
        <v>3341.01</v>
      </c>
    </row>
    <row r="3972" spans="32:34">
      <c r="AF3972" s="367">
        <f t="shared" ref="AF3972:AF4035" si="62">+DATE(YEAR(AG3972),MONTH(AG3972),1)</f>
        <v>43770</v>
      </c>
      <c r="AG3972" s="368">
        <v>43782</v>
      </c>
      <c r="AH3972" s="370">
        <v>3384.21</v>
      </c>
    </row>
    <row r="3973" spans="32:34">
      <c r="AF3973" s="367">
        <f t="shared" si="62"/>
        <v>43770</v>
      </c>
      <c r="AG3973" s="368">
        <v>43783</v>
      </c>
      <c r="AH3973" s="370">
        <v>3441.89</v>
      </c>
    </row>
    <row r="3974" spans="32:34">
      <c r="AF3974" s="367">
        <f t="shared" si="62"/>
        <v>43770</v>
      </c>
      <c r="AG3974" s="368">
        <v>43784</v>
      </c>
      <c r="AH3974" s="370">
        <v>3452.67</v>
      </c>
    </row>
    <row r="3975" spans="32:34">
      <c r="AF3975" s="367">
        <f t="shared" si="62"/>
        <v>43770</v>
      </c>
      <c r="AG3975" s="368">
        <v>43785</v>
      </c>
      <c r="AH3975" s="370">
        <v>3421.26</v>
      </c>
    </row>
    <row r="3976" spans="32:34">
      <c r="AF3976" s="367">
        <f t="shared" si="62"/>
        <v>43770</v>
      </c>
      <c r="AG3976" s="368">
        <v>43786</v>
      </c>
      <c r="AH3976" s="370">
        <v>3421.26</v>
      </c>
    </row>
    <row r="3977" spans="32:34">
      <c r="AF3977" s="367">
        <f t="shared" si="62"/>
        <v>43770</v>
      </c>
      <c r="AG3977" s="368">
        <v>43787</v>
      </c>
      <c r="AH3977" s="370">
        <v>3421.26</v>
      </c>
    </row>
    <row r="3978" spans="32:34">
      <c r="AF3978" s="367">
        <f t="shared" si="62"/>
        <v>43770</v>
      </c>
      <c r="AG3978" s="368">
        <v>43788</v>
      </c>
      <c r="AH3978" s="370">
        <v>3447.74</v>
      </c>
    </row>
    <row r="3979" spans="32:34">
      <c r="AF3979" s="367">
        <f t="shared" si="62"/>
        <v>43770</v>
      </c>
      <c r="AG3979" s="368">
        <v>43789</v>
      </c>
      <c r="AH3979" s="370">
        <v>3434.49</v>
      </c>
    </row>
    <row r="3980" spans="32:34">
      <c r="AF3980" s="367">
        <f t="shared" si="62"/>
        <v>43770</v>
      </c>
      <c r="AG3980" s="368">
        <v>43790</v>
      </c>
      <c r="AH3980" s="370">
        <v>3445.95</v>
      </c>
    </row>
    <row r="3981" spans="32:34">
      <c r="AF3981" s="367">
        <f t="shared" si="62"/>
        <v>43770</v>
      </c>
      <c r="AG3981" s="368">
        <v>43791</v>
      </c>
      <c r="AH3981" s="370">
        <v>3440.66</v>
      </c>
    </row>
    <row r="3982" spans="32:34">
      <c r="AF3982" s="367">
        <f t="shared" si="62"/>
        <v>43770</v>
      </c>
      <c r="AG3982" s="368">
        <v>43792</v>
      </c>
      <c r="AH3982" s="370">
        <v>3410.77</v>
      </c>
    </row>
    <row r="3983" spans="32:34">
      <c r="AF3983" s="367">
        <f t="shared" si="62"/>
        <v>43770</v>
      </c>
      <c r="AG3983" s="368">
        <v>43793</v>
      </c>
      <c r="AH3983" s="370">
        <v>3410.77</v>
      </c>
    </row>
    <row r="3984" spans="32:34">
      <c r="AF3984" s="367">
        <f t="shared" si="62"/>
        <v>43770</v>
      </c>
      <c r="AG3984" s="368">
        <v>43794</v>
      </c>
      <c r="AH3984" s="370">
        <v>3410.77</v>
      </c>
    </row>
    <row r="3985" spans="32:34">
      <c r="AF3985" s="367">
        <f t="shared" si="62"/>
        <v>43770</v>
      </c>
      <c r="AG3985" s="368">
        <v>43795</v>
      </c>
      <c r="AH3985" s="370">
        <v>3433.94</v>
      </c>
    </row>
    <row r="3986" spans="32:34">
      <c r="AF3986" s="367">
        <f t="shared" si="62"/>
        <v>43770</v>
      </c>
      <c r="AG3986" s="368">
        <v>43796</v>
      </c>
      <c r="AH3986" s="370">
        <v>3469.01</v>
      </c>
    </row>
    <row r="3987" spans="32:34">
      <c r="AF3987" s="367">
        <f t="shared" si="62"/>
        <v>43770</v>
      </c>
      <c r="AG3987" s="368">
        <v>43797</v>
      </c>
      <c r="AH3987" s="370">
        <v>3502.92</v>
      </c>
    </row>
    <row r="3988" spans="32:34">
      <c r="AF3988" s="367">
        <f t="shared" si="62"/>
        <v>43770</v>
      </c>
      <c r="AG3988" s="368">
        <v>43798</v>
      </c>
      <c r="AH3988" s="370">
        <v>3502.92</v>
      </c>
    </row>
    <row r="3989" spans="32:34">
      <c r="AF3989" s="367">
        <f t="shared" si="62"/>
        <v>43770</v>
      </c>
      <c r="AG3989" s="368">
        <v>43799</v>
      </c>
      <c r="AH3989" s="370">
        <v>3522.48</v>
      </c>
    </row>
    <row r="3990" spans="32:34">
      <c r="AF3990" s="367">
        <f t="shared" si="62"/>
        <v>43800</v>
      </c>
      <c r="AG3990" s="368">
        <v>43800</v>
      </c>
      <c r="AH3990" s="370">
        <v>3522.48</v>
      </c>
    </row>
    <row r="3991" spans="32:34">
      <c r="AF3991" s="367">
        <f t="shared" si="62"/>
        <v>43800</v>
      </c>
      <c r="AG3991" s="368">
        <v>43801</v>
      </c>
      <c r="AH3991" s="370">
        <v>3522.48</v>
      </c>
    </row>
    <row r="3992" spans="32:34">
      <c r="AF3992" s="367">
        <f t="shared" si="62"/>
        <v>43800</v>
      </c>
      <c r="AG3992" s="368">
        <v>43802</v>
      </c>
      <c r="AH3992" s="370">
        <v>3508.39</v>
      </c>
    </row>
    <row r="3993" spans="32:34">
      <c r="AF3993" s="367">
        <f t="shared" si="62"/>
        <v>43800</v>
      </c>
      <c r="AG3993" s="368">
        <v>43803</v>
      </c>
      <c r="AH3993" s="370">
        <v>3506.67</v>
      </c>
    </row>
    <row r="3994" spans="32:34">
      <c r="AF3994" s="367">
        <f t="shared" si="62"/>
        <v>43800</v>
      </c>
      <c r="AG3994" s="368">
        <v>43804</v>
      </c>
      <c r="AH3994" s="370">
        <v>3478.57</v>
      </c>
    </row>
    <row r="3995" spans="32:34">
      <c r="AF3995" s="367">
        <f t="shared" si="62"/>
        <v>43800</v>
      </c>
      <c r="AG3995" s="368">
        <v>43805</v>
      </c>
      <c r="AH3995" s="370">
        <v>3459.97</v>
      </c>
    </row>
    <row r="3996" spans="32:34">
      <c r="AF3996" s="367">
        <f t="shared" si="62"/>
        <v>43800</v>
      </c>
      <c r="AG3996" s="368">
        <v>43806</v>
      </c>
      <c r="AH3996" s="370">
        <v>3430.31</v>
      </c>
    </row>
    <row r="3997" spans="32:34">
      <c r="AF3997" s="367">
        <f t="shared" si="62"/>
        <v>43800</v>
      </c>
      <c r="AG3997" s="368">
        <v>43807</v>
      </c>
      <c r="AH3997" s="370">
        <v>3430.31</v>
      </c>
    </row>
    <row r="3998" spans="32:34">
      <c r="AF3998" s="367">
        <f t="shared" si="62"/>
        <v>43800</v>
      </c>
      <c r="AG3998" s="368">
        <v>43808</v>
      </c>
      <c r="AH3998" s="370">
        <v>3430.31</v>
      </c>
    </row>
    <row r="3999" spans="32:34">
      <c r="AF3999" s="367">
        <f t="shared" si="62"/>
        <v>43800</v>
      </c>
      <c r="AG3999" s="368">
        <v>43809</v>
      </c>
      <c r="AH3999" s="370">
        <v>3418.48</v>
      </c>
    </row>
    <row r="4000" spans="32:34">
      <c r="AF4000" s="367">
        <f t="shared" si="62"/>
        <v>43800</v>
      </c>
      <c r="AG4000" s="368">
        <v>43810</v>
      </c>
      <c r="AH4000" s="370">
        <v>3418.61</v>
      </c>
    </row>
    <row r="4001" spans="32:34">
      <c r="AF4001" s="367">
        <f t="shared" si="62"/>
        <v>43800</v>
      </c>
      <c r="AG4001" s="368">
        <v>43811</v>
      </c>
      <c r="AH4001" s="370">
        <v>3387.73</v>
      </c>
    </row>
    <row r="4002" spans="32:34">
      <c r="AF4002" s="367">
        <f t="shared" si="62"/>
        <v>43800</v>
      </c>
      <c r="AG4002" s="368">
        <v>43812</v>
      </c>
      <c r="AH4002" s="370">
        <v>3372.23</v>
      </c>
    </row>
    <row r="4003" spans="32:34">
      <c r="AF4003" s="367">
        <f t="shared" si="62"/>
        <v>43800</v>
      </c>
      <c r="AG4003" s="368">
        <v>43813</v>
      </c>
      <c r="AH4003" s="370">
        <v>3374.29</v>
      </c>
    </row>
    <row r="4004" spans="32:34">
      <c r="AF4004" s="367">
        <f t="shared" si="62"/>
        <v>43800</v>
      </c>
      <c r="AG4004" s="368">
        <v>43814</v>
      </c>
      <c r="AH4004" s="370">
        <v>3374.29</v>
      </c>
    </row>
    <row r="4005" spans="32:34">
      <c r="AF4005" s="367">
        <f t="shared" si="62"/>
        <v>43800</v>
      </c>
      <c r="AG4005" s="368">
        <v>43815</v>
      </c>
      <c r="AH4005" s="370">
        <v>3374.29</v>
      </c>
    </row>
    <row r="4006" spans="32:34">
      <c r="AF4006" s="367">
        <f t="shared" si="62"/>
        <v>43800</v>
      </c>
      <c r="AG4006" s="368">
        <v>43816</v>
      </c>
      <c r="AH4006" s="370">
        <v>3364.24</v>
      </c>
    </row>
    <row r="4007" spans="32:34">
      <c r="AF4007" s="367">
        <f t="shared" si="62"/>
        <v>43800</v>
      </c>
      <c r="AG4007" s="368">
        <v>43817</v>
      </c>
      <c r="AH4007" s="370">
        <v>3347.86</v>
      </c>
    </row>
    <row r="4008" spans="32:34">
      <c r="AF4008" s="367">
        <f t="shared" si="62"/>
        <v>43800</v>
      </c>
      <c r="AG4008" s="368">
        <v>43818</v>
      </c>
      <c r="AH4008" s="370">
        <v>3329.98</v>
      </c>
    </row>
    <row r="4009" spans="32:34">
      <c r="AF4009" s="367">
        <f t="shared" si="62"/>
        <v>43800</v>
      </c>
      <c r="AG4009" s="368">
        <v>43819</v>
      </c>
      <c r="AH4009" s="370">
        <v>3322.38</v>
      </c>
    </row>
    <row r="4010" spans="32:34">
      <c r="AF4010" s="367">
        <f t="shared" si="62"/>
        <v>43800</v>
      </c>
      <c r="AG4010" s="368">
        <v>43820</v>
      </c>
      <c r="AH4010" s="370">
        <v>3325.47</v>
      </c>
    </row>
    <row r="4011" spans="32:34">
      <c r="AF4011" s="367">
        <f t="shared" si="62"/>
        <v>43800</v>
      </c>
      <c r="AG4011" s="368">
        <v>43821</v>
      </c>
      <c r="AH4011" s="370">
        <v>3325.47</v>
      </c>
    </row>
    <row r="4012" spans="32:34">
      <c r="AF4012" s="367">
        <f t="shared" si="62"/>
        <v>43800</v>
      </c>
      <c r="AG4012" s="368">
        <v>43822</v>
      </c>
      <c r="AH4012" s="370">
        <v>3325.47</v>
      </c>
    </row>
    <row r="4013" spans="32:34">
      <c r="AF4013" s="367">
        <f t="shared" si="62"/>
        <v>43800</v>
      </c>
      <c r="AG4013" s="368">
        <v>43823</v>
      </c>
      <c r="AH4013" s="370">
        <v>3316.92</v>
      </c>
    </row>
    <row r="4014" spans="32:34">
      <c r="AF4014" s="367">
        <f t="shared" si="62"/>
        <v>43800</v>
      </c>
      <c r="AG4014" s="368">
        <v>43824</v>
      </c>
      <c r="AH4014" s="370">
        <v>3305.84</v>
      </c>
    </row>
    <row r="4015" spans="32:34">
      <c r="AF4015" s="367">
        <f t="shared" si="62"/>
        <v>43800</v>
      </c>
      <c r="AG4015" s="368">
        <v>43825</v>
      </c>
      <c r="AH4015" s="370">
        <v>3305.84</v>
      </c>
    </row>
    <row r="4016" spans="32:34">
      <c r="AF4016" s="367">
        <f t="shared" si="62"/>
        <v>43800</v>
      </c>
      <c r="AG4016" s="368">
        <v>43826</v>
      </c>
      <c r="AH4016" s="370">
        <v>3281.4</v>
      </c>
    </row>
    <row r="4017" spans="32:34">
      <c r="AF4017" s="367">
        <f t="shared" si="62"/>
        <v>43800</v>
      </c>
      <c r="AG4017" s="368">
        <v>43827</v>
      </c>
      <c r="AH4017" s="370">
        <v>3294.05</v>
      </c>
    </row>
    <row r="4018" spans="32:34">
      <c r="AF4018" s="367">
        <f t="shared" si="62"/>
        <v>43800</v>
      </c>
      <c r="AG4018" s="368">
        <v>43828</v>
      </c>
      <c r="AH4018" s="370">
        <v>3294.05</v>
      </c>
    </row>
    <row r="4019" spans="32:34">
      <c r="AF4019" s="367">
        <f t="shared" si="62"/>
        <v>43800</v>
      </c>
      <c r="AG4019" s="368">
        <v>43829</v>
      </c>
      <c r="AH4019" s="370">
        <v>3294.05</v>
      </c>
    </row>
    <row r="4020" spans="32:34">
      <c r="AF4020" s="367">
        <f t="shared" si="62"/>
        <v>43800</v>
      </c>
      <c r="AG4020" s="368">
        <v>43830</v>
      </c>
      <c r="AH4020" s="370">
        <v>3277.14</v>
      </c>
    </row>
    <row r="4021" spans="32:34">
      <c r="AF4021" s="367">
        <f t="shared" si="62"/>
        <v>43831</v>
      </c>
      <c r="AG4021" s="368">
        <v>43831</v>
      </c>
      <c r="AH4021" s="370">
        <v>3277.14</v>
      </c>
    </row>
    <row r="4022" spans="32:34">
      <c r="AF4022" s="367">
        <f t="shared" si="62"/>
        <v>43831</v>
      </c>
      <c r="AG4022" s="368">
        <v>43832</v>
      </c>
      <c r="AH4022" s="370">
        <v>3277.14</v>
      </c>
    </row>
    <row r="4023" spans="32:34">
      <c r="AF4023" s="367">
        <f t="shared" si="62"/>
        <v>43831</v>
      </c>
      <c r="AG4023" s="368">
        <v>43833</v>
      </c>
      <c r="AH4023" s="370">
        <v>3258.84</v>
      </c>
    </row>
    <row r="4024" spans="32:34">
      <c r="AF4024" s="367">
        <f t="shared" si="62"/>
        <v>43831</v>
      </c>
      <c r="AG4024" s="368">
        <v>43834</v>
      </c>
      <c r="AH4024" s="370">
        <v>3262.05</v>
      </c>
    </row>
    <row r="4025" spans="32:34">
      <c r="AF4025" s="367">
        <f t="shared" si="62"/>
        <v>43831</v>
      </c>
      <c r="AG4025" s="368">
        <v>43835</v>
      </c>
      <c r="AH4025" s="370">
        <v>3262.05</v>
      </c>
    </row>
    <row r="4026" spans="32:34">
      <c r="AF4026" s="367">
        <f t="shared" si="62"/>
        <v>43831</v>
      </c>
      <c r="AG4026" s="368">
        <v>43836</v>
      </c>
      <c r="AH4026" s="370">
        <v>3262.05</v>
      </c>
    </row>
    <row r="4027" spans="32:34">
      <c r="AF4027" s="367">
        <f t="shared" si="62"/>
        <v>43831</v>
      </c>
      <c r="AG4027" s="368">
        <v>43837</v>
      </c>
      <c r="AH4027" s="370">
        <v>3262.05</v>
      </c>
    </row>
    <row r="4028" spans="32:34">
      <c r="AF4028" s="367">
        <f t="shared" si="62"/>
        <v>43831</v>
      </c>
      <c r="AG4028" s="368">
        <v>43838</v>
      </c>
      <c r="AH4028" s="370">
        <v>3264.26</v>
      </c>
    </row>
    <row r="4029" spans="32:34">
      <c r="AF4029" s="367">
        <f t="shared" si="62"/>
        <v>43831</v>
      </c>
      <c r="AG4029" s="368">
        <v>43839</v>
      </c>
      <c r="AH4029" s="370">
        <v>3254.42</v>
      </c>
    </row>
    <row r="4030" spans="32:34">
      <c r="AF4030" s="367">
        <f t="shared" si="62"/>
        <v>43831</v>
      </c>
      <c r="AG4030" s="368">
        <v>43840</v>
      </c>
      <c r="AH4030" s="370">
        <v>3253.89</v>
      </c>
    </row>
    <row r="4031" spans="32:34">
      <c r="AF4031" s="367">
        <f t="shared" si="62"/>
        <v>43831</v>
      </c>
      <c r="AG4031" s="368">
        <v>43841</v>
      </c>
      <c r="AH4031" s="370">
        <v>3272.62</v>
      </c>
    </row>
    <row r="4032" spans="32:34">
      <c r="AF4032" s="367">
        <f t="shared" si="62"/>
        <v>43831</v>
      </c>
      <c r="AG4032" s="368">
        <v>43842</v>
      </c>
      <c r="AH4032" s="370">
        <v>3272.62</v>
      </c>
    </row>
    <row r="4033" spans="32:34">
      <c r="AF4033" s="367">
        <f t="shared" si="62"/>
        <v>43831</v>
      </c>
      <c r="AG4033" s="368">
        <v>43843</v>
      </c>
      <c r="AH4033" s="370">
        <v>3272.62</v>
      </c>
    </row>
    <row r="4034" spans="32:34">
      <c r="AF4034" s="367">
        <f t="shared" si="62"/>
        <v>43831</v>
      </c>
      <c r="AG4034" s="368">
        <v>43844</v>
      </c>
      <c r="AH4034" s="370">
        <v>3288.05</v>
      </c>
    </row>
    <row r="4035" spans="32:34">
      <c r="AF4035" s="367">
        <f t="shared" si="62"/>
        <v>43831</v>
      </c>
      <c r="AG4035" s="368">
        <v>43845</v>
      </c>
      <c r="AH4035" s="370">
        <v>3278.83</v>
      </c>
    </row>
    <row r="4036" spans="32:34">
      <c r="AF4036" s="367">
        <f t="shared" ref="AF4036:AF4099" si="63">+DATE(YEAR(AG4036),MONTH(AG4036),1)</f>
        <v>43831</v>
      </c>
      <c r="AG4036" s="368">
        <v>43846</v>
      </c>
      <c r="AH4036" s="370">
        <v>3296.74</v>
      </c>
    </row>
    <row r="4037" spans="32:34">
      <c r="AF4037" s="367">
        <f t="shared" si="63"/>
        <v>43831</v>
      </c>
      <c r="AG4037" s="368">
        <v>43847</v>
      </c>
      <c r="AH4037" s="370">
        <v>3313.4</v>
      </c>
    </row>
    <row r="4038" spans="32:34">
      <c r="AF4038" s="367">
        <f t="shared" si="63"/>
        <v>43831</v>
      </c>
      <c r="AG4038" s="368">
        <v>43848</v>
      </c>
      <c r="AH4038" s="370">
        <v>3320.77</v>
      </c>
    </row>
    <row r="4039" spans="32:34">
      <c r="AF4039" s="367">
        <f t="shared" si="63"/>
        <v>43831</v>
      </c>
      <c r="AG4039" s="368">
        <v>43849</v>
      </c>
      <c r="AH4039" s="370">
        <v>3320.77</v>
      </c>
    </row>
    <row r="4040" spans="32:34">
      <c r="AF4040" s="367">
        <f t="shared" si="63"/>
        <v>43831</v>
      </c>
      <c r="AG4040" s="368">
        <v>43850</v>
      </c>
      <c r="AH4040" s="370">
        <v>3320.77</v>
      </c>
    </row>
    <row r="4041" spans="32:34">
      <c r="AF4041" s="367">
        <f t="shared" si="63"/>
        <v>43831</v>
      </c>
      <c r="AG4041" s="368">
        <v>43851</v>
      </c>
      <c r="AH4041" s="370">
        <v>3320.77</v>
      </c>
    </row>
    <row r="4042" spans="32:34">
      <c r="AF4042" s="367">
        <f t="shared" si="63"/>
        <v>43831</v>
      </c>
      <c r="AG4042" s="368">
        <v>43852</v>
      </c>
      <c r="AH4042" s="370">
        <v>3347.91</v>
      </c>
    </row>
    <row r="4043" spans="32:34">
      <c r="AF4043" s="367">
        <f t="shared" si="63"/>
        <v>43831</v>
      </c>
      <c r="AG4043" s="368">
        <v>43853</v>
      </c>
      <c r="AH4043" s="370">
        <v>3337.77</v>
      </c>
    </row>
    <row r="4044" spans="32:34">
      <c r="AF4044" s="367">
        <f t="shared" si="63"/>
        <v>43831</v>
      </c>
      <c r="AG4044" s="368">
        <v>43854</v>
      </c>
      <c r="AH4044" s="370">
        <v>3353.76</v>
      </c>
    </row>
    <row r="4045" spans="32:34">
      <c r="AF4045" s="367">
        <f t="shared" si="63"/>
        <v>43831</v>
      </c>
      <c r="AG4045" s="368">
        <v>43855</v>
      </c>
      <c r="AH4045" s="370">
        <v>3366.01</v>
      </c>
    </row>
    <row r="4046" spans="32:34">
      <c r="AF4046" s="367">
        <f t="shared" si="63"/>
        <v>43831</v>
      </c>
      <c r="AG4046" s="368">
        <v>43856</v>
      </c>
      <c r="AH4046" s="370">
        <v>3366.01</v>
      </c>
    </row>
    <row r="4047" spans="32:34">
      <c r="AF4047" s="367">
        <f t="shared" si="63"/>
        <v>43831</v>
      </c>
      <c r="AG4047" s="368">
        <v>43857</v>
      </c>
      <c r="AH4047" s="370">
        <v>3366.01</v>
      </c>
    </row>
    <row r="4048" spans="32:34">
      <c r="AF4048" s="367">
        <f t="shared" si="63"/>
        <v>43831</v>
      </c>
      <c r="AG4048" s="368">
        <v>43858</v>
      </c>
      <c r="AH4048" s="370">
        <v>3398.4</v>
      </c>
    </row>
    <row r="4049" spans="32:34">
      <c r="AF4049" s="367">
        <f t="shared" si="63"/>
        <v>43831</v>
      </c>
      <c r="AG4049" s="368">
        <v>43859</v>
      </c>
      <c r="AH4049" s="370">
        <v>3392.6</v>
      </c>
    </row>
    <row r="4050" spans="32:34">
      <c r="AF4050" s="367">
        <f t="shared" si="63"/>
        <v>43831</v>
      </c>
      <c r="AG4050" s="368">
        <v>43860</v>
      </c>
      <c r="AH4050" s="370">
        <v>3395.1</v>
      </c>
    </row>
    <row r="4051" spans="32:34">
      <c r="AF4051" s="367">
        <f t="shared" si="63"/>
        <v>43831</v>
      </c>
      <c r="AG4051" s="368">
        <v>43861</v>
      </c>
      <c r="AH4051" s="370">
        <v>3411.45</v>
      </c>
    </row>
    <row r="4052" spans="32:34">
      <c r="AF4052" s="367">
        <f t="shared" si="63"/>
        <v>43862</v>
      </c>
      <c r="AG4052" s="368">
        <v>43862</v>
      </c>
      <c r="AH4052" s="370">
        <v>3423.24</v>
      </c>
    </row>
    <row r="4053" spans="32:34">
      <c r="AF4053" s="367">
        <f t="shared" si="63"/>
        <v>43862</v>
      </c>
      <c r="AG4053" s="368">
        <v>43863</v>
      </c>
      <c r="AH4053" s="370">
        <v>3423.24</v>
      </c>
    </row>
    <row r="4054" spans="32:34">
      <c r="AF4054" s="367">
        <f t="shared" si="63"/>
        <v>43862</v>
      </c>
      <c r="AG4054" s="368">
        <v>43864</v>
      </c>
      <c r="AH4054" s="370">
        <v>3423.24</v>
      </c>
    </row>
    <row r="4055" spans="32:34">
      <c r="AF4055" s="367">
        <f t="shared" si="63"/>
        <v>43862</v>
      </c>
      <c r="AG4055" s="368">
        <v>43865</v>
      </c>
      <c r="AH4055" s="370">
        <v>3401.56</v>
      </c>
    </row>
    <row r="4056" spans="32:34">
      <c r="AF4056" s="367">
        <f t="shared" si="63"/>
        <v>43862</v>
      </c>
      <c r="AG4056" s="368">
        <v>43866</v>
      </c>
      <c r="AH4056" s="370">
        <v>3368.87</v>
      </c>
    </row>
    <row r="4057" spans="32:34">
      <c r="AF4057" s="367">
        <f t="shared" si="63"/>
        <v>43862</v>
      </c>
      <c r="AG4057" s="368">
        <v>43867</v>
      </c>
      <c r="AH4057" s="370">
        <v>3355.44</v>
      </c>
    </row>
    <row r="4058" spans="32:34">
      <c r="AF4058" s="367">
        <f t="shared" si="63"/>
        <v>43862</v>
      </c>
      <c r="AG4058" s="368">
        <v>43868</v>
      </c>
      <c r="AH4058" s="370">
        <v>3378.43</v>
      </c>
    </row>
    <row r="4059" spans="32:34">
      <c r="AF4059" s="367">
        <f t="shared" si="63"/>
        <v>43862</v>
      </c>
      <c r="AG4059" s="368">
        <v>43869</v>
      </c>
      <c r="AH4059" s="370">
        <v>3408.35</v>
      </c>
    </row>
    <row r="4060" spans="32:34">
      <c r="AF4060" s="367">
        <f t="shared" si="63"/>
        <v>43862</v>
      </c>
      <c r="AG4060" s="368">
        <v>43870</v>
      </c>
      <c r="AH4060" s="370">
        <v>3408.35</v>
      </c>
    </row>
    <row r="4061" spans="32:34">
      <c r="AF4061" s="367">
        <f t="shared" si="63"/>
        <v>43862</v>
      </c>
      <c r="AG4061" s="368">
        <v>43871</v>
      </c>
      <c r="AH4061" s="370">
        <v>3408.35</v>
      </c>
    </row>
    <row r="4062" spans="32:34">
      <c r="AF4062" s="367">
        <f t="shared" si="63"/>
        <v>43862</v>
      </c>
      <c r="AG4062" s="368">
        <v>43872</v>
      </c>
      <c r="AH4062" s="370">
        <v>3440.96</v>
      </c>
    </row>
    <row r="4063" spans="32:34">
      <c r="AF4063" s="367">
        <f t="shared" si="63"/>
        <v>43862</v>
      </c>
      <c r="AG4063" s="368">
        <v>43873</v>
      </c>
      <c r="AH4063" s="370">
        <v>3432.89</v>
      </c>
    </row>
    <row r="4064" spans="32:34">
      <c r="AF4064" s="367">
        <f t="shared" si="63"/>
        <v>43862</v>
      </c>
      <c r="AG4064" s="368">
        <v>43874</v>
      </c>
      <c r="AH4064" s="370">
        <v>3394.8</v>
      </c>
    </row>
    <row r="4065" spans="32:34">
      <c r="AF4065" s="367">
        <f t="shared" si="63"/>
        <v>43862</v>
      </c>
      <c r="AG4065" s="368">
        <v>43875</v>
      </c>
      <c r="AH4065" s="370">
        <v>3385.11</v>
      </c>
    </row>
    <row r="4066" spans="32:34">
      <c r="AF4066" s="367">
        <f t="shared" si="63"/>
        <v>43862</v>
      </c>
      <c r="AG4066" s="368">
        <v>43876</v>
      </c>
      <c r="AH4066" s="370">
        <v>3378.29</v>
      </c>
    </row>
    <row r="4067" spans="32:34">
      <c r="AF4067" s="367">
        <f t="shared" si="63"/>
        <v>43862</v>
      </c>
      <c r="AG4067" s="368">
        <v>43877</v>
      </c>
      <c r="AH4067" s="370">
        <v>3378.29</v>
      </c>
    </row>
    <row r="4068" spans="32:34">
      <c r="AF4068" s="367">
        <f t="shared" si="63"/>
        <v>43862</v>
      </c>
      <c r="AG4068" s="368">
        <v>43878</v>
      </c>
      <c r="AH4068" s="370">
        <v>3378.29</v>
      </c>
    </row>
    <row r="4069" spans="32:34">
      <c r="AF4069" s="367">
        <f t="shared" si="63"/>
        <v>43862</v>
      </c>
      <c r="AG4069" s="368">
        <v>43879</v>
      </c>
      <c r="AH4069" s="370">
        <v>3378.29</v>
      </c>
    </row>
    <row r="4070" spans="32:34">
      <c r="AF4070" s="367">
        <f t="shared" si="63"/>
        <v>43862</v>
      </c>
      <c r="AG4070" s="368">
        <v>43880</v>
      </c>
      <c r="AH4070" s="370">
        <v>3410.24</v>
      </c>
    </row>
    <row r="4071" spans="32:34">
      <c r="AF4071" s="367">
        <f t="shared" si="63"/>
        <v>43862</v>
      </c>
      <c r="AG4071" s="368">
        <v>43881</v>
      </c>
      <c r="AH4071" s="370">
        <v>3400.98</v>
      </c>
    </row>
    <row r="4072" spans="32:34">
      <c r="AF4072" s="367">
        <f t="shared" si="63"/>
        <v>43862</v>
      </c>
      <c r="AG4072" s="368">
        <v>43882</v>
      </c>
      <c r="AH4072" s="370">
        <v>3403.5</v>
      </c>
    </row>
    <row r="4073" spans="32:34">
      <c r="AF4073" s="367">
        <f t="shared" si="63"/>
        <v>43862</v>
      </c>
      <c r="AG4073" s="368">
        <v>43883</v>
      </c>
      <c r="AH4073" s="370">
        <v>3398.05</v>
      </c>
    </row>
    <row r="4074" spans="32:34">
      <c r="AF4074" s="367">
        <f t="shared" si="63"/>
        <v>43862</v>
      </c>
      <c r="AG4074" s="368">
        <v>43884</v>
      </c>
      <c r="AH4074" s="370">
        <v>3398.05</v>
      </c>
    </row>
    <row r="4075" spans="32:34">
      <c r="AF4075" s="367">
        <f t="shared" si="63"/>
        <v>43862</v>
      </c>
      <c r="AG4075" s="368">
        <v>43885</v>
      </c>
      <c r="AH4075" s="370">
        <v>3398.05</v>
      </c>
    </row>
    <row r="4076" spans="32:34">
      <c r="AF4076" s="367">
        <f t="shared" si="63"/>
        <v>43862</v>
      </c>
      <c r="AG4076" s="368">
        <v>43886</v>
      </c>
      <c r="AH4076" s="370">
        <v>3431.6</v>
      </c>
    </row>
    <row r="4077" spans="32:34">
      <c r="AF4077" s="367">
        <f t="shared" si="63"/>
        <v>43862</v>
      </c>
      <c r="AG4077" s="368">
        <v>43887</v>
      </c>
      <c r="AH4077" s="370">
        <v>3425.22</v>
      </c>
    </row>
    <row r="4078" spans="32:34">
      <c r="AF4078" s="367">
        <f t="shared" si="63"/>
        <v>43862</v>
      </c>
      <c r="AG4078" s="368">
        <v>43888</v>
      </c>
      <c r="AH4078" s="370">
        <v>3441.88</v>
      </c>
    </row>
    <row r="4079" spans="32:34">
      <c r="AF4079" s="367">
        <f t="shared" si="63"/>
        <v>43862</v>
      </c>
      <c r="AG4079" s="368">
        <v>43889</v>
      </c>
      <c r="AH4079" s="370">
        <v>3507.11</v>
      </c>
    </row>
    <row r="4080" spans="32:34">
      <c r="AF4080" s="367">
        <f t="shared" si="63"/>
        <v>43862</v>
      </c>
      <c r="AG4080" s="368">
        <v>43890</v>
      </c>
      <c r="AH4080" s="370">
        <v>3539.86</v>
      </c>
    </row>
    <row r="4081" spans="32:34">
      <c r="AF4081" s="367">
        <f t="shared" si="63"/>
        <v>43891</v>
      </c>
      <c r="AG4081" s="368">
        <v>43891</v>
      </c>
      <c r="AH4081" s="370">
        <v>3539.86</v>
      </c>
    </row>
    <row r="4082" spans="32:34">
      <c r="AF4082" s="367">
        <f t="shared" si="63"/>
        <v>43891</v>
      </c>
      <c r="AG4082" s="368">
        <v>43892</v>
      </c>
      <c r="AH4082" s="370">
        <v>3539.86</v>
      </c>
    </row>
    <row r="4083" spans="32:34">
      <c r="AF4083" s="367">
        <f t="shared" si="63"/>
        <v>43891</v>
      </c>
      <c r="AG4083" s="368">
        <v>43893</v>
      </c>
      <c r="AH4083" s="370">
        <v>3512.17</v>
      </c>
    </row>
    <row r="4084" spans="32:34">
      <c r="AF4084" s="367">
        <f t="shared" si="63"/>
        <v>43891</v>
      </c>
      <c r="AG4084" s="368">
        <v>43894</v>
      </c>
      <c r="AH4084" s="370">
        <v>3455.56</v>
      </c>
    </row>
    <row r="4085" spans="32:34">
      <c r="AF4085" s="367">
        <f t="shared" si="63"/>
        <v>43891</v>
      </c>
      <c r="AG4085" s="368">
        <v>43895</v>
      </c>
      <c r="AH4085" s="370">
        <v>3458.45</v>
      </c>
    </row>
    <row r="4086" spans="32:34">
      <c r="AF4086" s="367">
        <f t="shared" si="63"/>
        <v>43891</v>
      </c>
      <c r="AG4086" s="368">
        <v>43896</v>
      </c>
      <c r="AH4086" s="370">
        <v>3522.41</v>
      </c>
    </row>
    <row r="4087" spans="32:34">
      <c r="AF4087" s="367">
        <f t="shared" si="63"/>
        <v>43891</v>
      </c>
      <c r="AG4087" s="368">
        <v>43897</v>
      </c>
      <c r="AH4087" s="370">
        <v>3584.58</v>
      </c>
    </row>
    <row r="4088" spans="32:34">
      <c r="AF4088" s="367">
        <f t="shared" si="63"/>
        <v>43891</v>
      </c>
      <c r="AG4088" s="368">
        <v>43898</v>
      </c>
      <c r="AH4088" s="370">
        <v>3584.58</v>
      </c>
    </row>
    <row r="4089" spans="32:34">
      <c r="AF4089" s="367">
        <f t="shared" si="63"/>
        <v>43891</v>
      </c>
      <c r="AG4089" s="368">
        <v>43899</v>
      </c>
      <c r="AH4089" s="370">
        <v>3584.58</v>
      </c>
    </row>
    <row r="4090" spans="32:34">
      <c r="AF4090" s="367">
        <f t="shared" si="63"/>
        <v>43891</v>
      </c>
      <c r="AG4090" s="368">
        <v>43900</v>
      </c>
      <c r="AH4090" s="370">
        <v>3803.6</v>
      </c>
    </row>
    <row r="4091" spans="32:34">
      <c r="AF4091" s="367">
        <f t="shared" si="63"/>
        <v>43891</v>
      </c>
      <c r="AG4091" s="368">
        <v>43901</v>
      </c>
      <c r="AH4091" s="370">
        <v>3780.39</v>
      </c>
    </row>
    <row r="4092" spans="32:34">
      <c r="AF4092" s="367">
        <f t="shared" si="63"/>
        <v>43891</v>
      </c>
      <c r="AG4092" s="368">
        <v>43902</v>
      </c>
      <c r="AH4092" s="370">
        <v>3835.15</v>
      </c>
    </row>
    <row r="4093" spans="32:34">
      <c r="AF4093" s="367">
        <f t="shared" si="63"/>
        <v>43891</v>
      </c>
      <c r="AG4093" s="368">
        <v>43903</v>
      </c>
      <c r="AH4093" s="370">
        <v>4034.66</v>
      </c>
    </row>
    <row r="4094" spans="32:34">
      <c r="AF4094" s="367">
        <f t="shared" si="63"/>
        <v>43891</v>
      </c>
      <c r="AG4094" s="368">
        <v>43904</v>
      </c>
      <c r="AH4094" s="370">
        <v>3941.92</v>
      </c>
    </row>
    <row r="4095" spans="32:34">
      <c r="AF4095" s="367">
        <f t="shared" si="63"/>
        <v>43891</v>
      </c>
      <c r="AG4095" s="368">
        <v>43905</v>
      </c>
      <c r="AH4095" s="370">
        <v>3941.92</v>
      </c>
    </row>
    <row r="4096" spans="32:34">
      <c r="AF4096" s="367">
        <f t="shared" si="63"/>
        <v>43891</v>
      </c>
      <c r="AG4096" s="368">
        <v>43906</v>
      </c>
      <c r="AH4096" s="370">
        <v>3941.92</v>
      </c>
    </row>
    <row r="4097" spans="32:34">
      <c r="AF4097" s="367">
        <f t="shared" si="63"/>
        <v>43891</v>
      </c>
      <c r="AG4097" s="368">
        <v>43907</v>
      </c>
      <c r="AH4097" s="370">
        <v>4099.93</v>
      </c>
    </row>
    <row r="4098" spans="32:34">
      <c r="AF4098" s="367">
        <f t="shared" si="63"/>
        <v>43891</v>
      </c>
      <c r="AG4098" s="368">
        <v>43908</v>
      </c>
      <c r="AH4098" s="370">
        <v>4044.55</v>
      </c>
    </row>
    <row r="4099" spans="32:34">
      <c r="AF4099" s="367">
        <f t="shared" si="63"/>
        <v>43891</v>
      </c>
      <c r="AG4099" s="368">
        <v>43909</v>
      </c>
      <c r="AH4099" s="370">
        <v>4128.38</v>
      </c>
    </row>
    <row r="4100" spans="32:34">
      <c r="AF4100" s="367">
        <f t="shared" ref="AF4100:AF4163" si="64">+DATE(YEAR(AG4100),MONTH(AG4100),1)</f>
        <v>43891</v>
      </c>
      <c r="AG4100" s="368">
        <v>43910</v>
      </c>
      <c r="AH4100" s="370">
        <v>4153.91</v>
      </c>
    </row>
    <row r="4101" spans="32:34">
      <c r="AF4101" s="367">
        <f t="shared" si="64"/>
        <v>43891</v>
      </c>
      <c r="AG4101" s="368">
        <v>43911</v>
      </c>
      <c r="AH4101" s="370">
        <v>4079.96</v>
      </c>
    </row>
    <row r="4102" spans="32:34">
      <c r="AF4102" s="367">
        <f t="shared" si="64"/>
        <v>43891</v>
      </c>
      <c r="AG4102" s="368">
        <v>43912</v>
      </c>
      <c r="AH4102" s="370">
        <v>4079.96</v>
      </c>
    </row>
    <row r="4103" spans="32:34">
      <c r="AF4103" s="367">
        <f t="shared" si="64"/>
        <v>43891</v>
      </c>
      <c r="AG4103" s="368">
        <v>43913</v>
      </c>
      <c r="AH4103" s="370">
        <v>4079.96</v>
      </c>
    </row>
    <row r="4104" spans="32:34">
      <c r="AF4104" s="367">
        <f t="shared" si="64"/>
        <v>43891</v>
      </c>
      <c r="AG4104" s="368">
        <v>43914</v>
      </c>
      <c r="AH4104" s="370">
        <v>4079.96</v>
      </c>
    </row>
    <row r="4105" spans="32:34">
      <c r="AF4105" s="367">
        <f t="shared" si="64"/>
        <v>43891</v>
      </c>
      <c r="AG4105" s="368">
        <v>43915</v>
      </c>
      <c r="AH4105" s="370">
        <v>4104.8999999999996</v>
      </c>
    </row>
    <row r="4106" spans="32:34">
      <c r="AF4106" s="367">
        <f t="shared" si="64"/>
        <v>43891</v>
      </c>
      <c r="AG4106" s="368">
        <v>43916</v>
      </c>
      <c r="AH4106" s="370">
        <v>4086.34</v>
      </c>
    </row>
    <row r="4107" spans="32:34">
      <c r="AF4107" s="367">
        <f t="shared" si="64"/>
        <v>43891</v>
      </c>
      <c r="AG4107" s="368">
        <v>43917</v>
      </c>
      <c r="AH4107" s="370">
        <v>3995.83</v>
      </c>
    </row>
    <row r="4108" spans="32:34">
      <c r="AF4108" s="367">
        <f t="shared" si="64"/>
        <v>43891</v>
      </c>
      <c r="AG4108" s="368">
        <v>43918</v>
      </c>
      <c r="AH4108" s="370">
        <v>4042.8</v>
      </c>
    </row>
    <row r="4109" spans="32:34">
      <c r="AF4109" s="367">
        <f t="shared" si="64"/>
        <v>43891</v>
      </c>
      <c r="AG4109" s="368">
        <v>43919</v>
      </c>
      <c r="AH4109" s="370">
        <v>4042.8</v>
      </c>
    </row>
    <row r="4110" spans="32:34">
      <c r="AF4110" s="367">
        <f t="shared" si="64"/>
        <v>43891</v>
      </c>
      <c r="AG4110" s="368">
        <v>43920</v>
      </c>
      <c r="AH4110" s="370">
        <v>4042.8</v>
      </c>
    </row>
    <row r="4111" spans="32:34">
      <c r="AF4111" s="367">
        <f t="shared" si="64"/>
        <v>43891</v>
      </c>
      <c r="AG4111" s="368">
        <v>43921</v>
      </c>
      <c r="AH4111" s="370">
        <v>4064.81</v>
      </c>
    </row>
    <row r="4112" spans="32:34">
      <c r="AF4112" s="367">
        <f t="shared" si="64"/>
        <v>43922</v>
      </c>
      <c r="AG4112" s="368">
        <v>43922</v>
      </c>
      <c r="AH4112" s="370">
        <v>4054.54</v>
      </c>
    </row>
    <row r="4113" spans="32:34">
      <c r="AF4113" s="367">
        <f t="shared" si="64"/>
        <v>43922</v>
      </c>
      <c r="AG4113" s="368">
        <v>43923</v>
      </c>
      <c r="AH4113" s="370">
        <v>4081.06</v>
      </c>
    </row>
    <row r="4114" spans="32:34">
      <c r="AF4114" s="367">
        <f t="shared" si="64"/>
        <v>43922</v>
      </c>
      <c r="AG4114" s="368">
        <v>43924</v>
      </c>
      <c r="AH4114" s="370">
        <v>4065.5</v>
      </c>
    </row>
    <row r="4115" spans="32:34">
      <c r="AF4115" s="367">
        <f t="shared" si="64"/>
        <v>43922</v>
      </c>
      <c r="AG4115" s="368">
        <v>43925</v>
      </c>
      <c r="AH4115" s="370">
        <v>4008.78</v>
      </c>
    </row>
    <row r="4116" spans="32:34">
      <c r="AF4116" s="367">
        <f t="shared" si="64"/>
        <v>43922</v>
      </c>
      <c r="AG4116" s="368">
        <v>43926</v>
      </c>
      <c r="AH4116" s="370">
        <v>4008.78</v>
      </c>
    </row>
    <row r="4117" spans="32:34">
      <c r="AF4117" s="367">
        <f t="shared" si="64"/>
        <v>43922</v>
      </c>
      <c r="AG4117" s="368">
        <v>43927</v>
      </c>
      <c r="AH4117" s="370">
        <v>4008.78</v>
      </c>
    </row>
    <row r="4118" spans="32:34">
      <c r="AF4118" s="367">
        <f t="shared" si="64"/>
        <v>43922</v>
      </c>
      <c r="AG4118" s="368">
        <v>43928</v>
      </c>
      <c r="AH4118" s="370">
        <v>3978.38</v>
      </c>
    </row>
    <row r="4119" spans="32:34">
      <c r="AF4119" s="367">
        <f t="shared" si="64"/>
        <v>43922</v>
      </c>
      <c r="AG4119" s="368">
        <v>43929</v>
      </c>
      <c r="AH4119" s="370">
        <v>3910.15</v>
      </c>
    </row>
    <row r="4120" spans="32:34">
      <c r="AF4120" s="367">
        <f t="shared" si="64"/>
        <v>43922</v>
      </c>
      <c r="AG4120" s="368">
        <v>43930</v>
      </c>
      <c r="AH4120" s="370">
        <v>3886.79</v>
      </c>
    </row>
    <row r="4121" spans="32:34">
      <c r="AF4121" s="367">
        <f t="shared" si="64"/>
        <v>43922</v>
      </c>
      <c r="AG4121" s="368">
        <v>43931</v>
      </c>
      <c r="AH4121" s="370">
        <v>3886.79</v>
      </c>
    </row>
    <row r="4122" spans="32:34">
      <c r="AF4122" s="367">
        <f t="shared" si="64"/>
        <v>43922</v>
      </c>
      <c r="AG4122" s="368">
        <v>43932</v>
      </c>
      <c r="AH4122" s="370">
        <v>3886.79</v>
      </c>
    </row>
    <row r="4123" spans="32:34">
      <c r="AF4123" s="367">
        <f t="shared" si="64"/>
        <v>43922</v>
      </c>
      <c r="AG4123" s="368">
        <v>43933</v>
      </c>
      <c r="AH4123" s="370">
        <v>3886.79</v>
      </c>
    </row>
    <row r="4124" spans="32:34">
      <c r="AF4124" s="367">
        <f t="shared" si="64"/>
        <v>43922</v>
      </c>
      <c r="AG4124" s="368">
        <v>43934</v>
      </c>
      <c r="AH4124" s="370">
        <v>3886.79</v>
      </c>
    </row>
    <row r="4125" spans="32:34">
      <c r="AF4125" s="367">
        <f t="shared" si="64"/>
        <v>43922</v>
      </c>
      <c r="AG4125" s="372">
        <v>43935</v>
      </c>
      <c r="AH4125" s="122">
        <v>3870.31</v>
      </c>
    </row>
    <row r="4126" spans="32:34">
      <c r="AF4126" s="367">
        <f t="shared" si="64"/>
        <v>43922</v>
      </c>
      <c r="AG4126" s="372">
        <v>43936</v>
      </c>
      <c r="AH4126" s="122">
        <v>3858.21</v>
      </c>
    </row>
    <row r="4127" spans="32:34">
      <c r="AF4127" s="367">
        <f t="shared" si="64"/>
        <v>43922</v>
      </c>
      <c r="AG4127" s="372">
        <v>43937</v>
      </c>
      <c r="AH4127" s="122">
        <v>3920.83</v>
      </c>
    </row>
    <row r="4128" spans="32:34">
      <c r="AF4128" s="367">
        <f t="shared" si="64"/>
        <v>43922</v>
      </c>
      <c r="AG4128" s="372">
        <v>43938</v>
      </c>
      <c r="AH4128" s="122">
        <v>3942.92</v>
      </c>
    </row>
    <row r="4129" spans="32:34">
      <c r="AF4129" s="367">
        <f t="shared" si="64"/>
        <v>43922</v>
      </c>
      <c r="AG4129" s="372">
        <v>43939</v>
      </c>
      <c r="AH4129" s="122">
        <v>3973.06</v>
      </c>
    </row>
    <row r="4130" spans="32:34">
      <c r="AF4130" s="367">
        <f t="shared" si="64"/>
        <v>43922</v>
      </c>
      <c r="AG4130" s="372">
        <v>43940</v>
      </c>
      <c r="AH4130" s="122">
        <v>3973.06</v>
      </c>
    </row>
    <row r="4131" spans="32:34">
      <c r="AF4131" s="367">
        <f t="shared" si="64"/>
        <v>43922</v>
      </c>
      <c r="AG4131" s="372">
        <v>43941</v>
      </c>
      <c r="AH4131" s="122">
        <v>3973.06</v>
      </c>
    </row>
    <row r="4132" spans="32:34">
      <c r="AF4132" s="367">
        <f t="shared" si="64"/>
        <v>43922</v>
      </c>
      <c r="AG4132" s="372">
        <v>43942</v>
      </c>
      <c r="AH4132" s="122">
        <v>3967.76</v>
      </c>
    </row>
    <row r="4133" spans="32:34">
      <c r="AF4133" s="367">
        <f t="shared" si="64"/>
        <v>43922</v>
      </c>
      <c r="AG4133" s="372">
        <v>43943</v>
      </c>
      <c r="AH4133" s="122">
        <v>4045.01</v>
      </c>
    </row>
    <row r="4134" spans="32:34">
      <c r="AF4134" s="367">
        <f t="shared" si="64"/>
        <v>43922</v>
      </c>
      <c r="AG4134" s="372">
        <v>43944</v>
      </c>
      <c r="AH4134" s="122">
        <v>4037.95</v>
      </c>
    </row>
    <row r="4135" spans="32:34">
      <c r="AF4135" s="367">
        <f t="shared" si="64"/>
        <v>43922</v>
      </c>
      <c r="AG4135" s="372">
        <v>43945</v>
      </c>
      <c r="AH4135" s="122">
        <v>4020.94</v>
      </c>
    </row>
    <row r="4136" spans="32:34">
      <c r="AF4136" s="367">
        <f t="shared" si="64"/>
        <v>43922</v>
      </c>
      <c r="AG4136" s="372">
        <v>43946</v>
      </c>
      <c r="AH4136" s="122">
        <v>4039.87</v>
      </c>
    </row>
    <row r="4137" spans="32:34">
      <c r="AF4137" s="367">
        <f t="shared" si="64"/>
        <v>43922</v>
      </c>
      <c r="AG4137" s="372">
        <v>43947</v>
      </c>
      <c r="AH4137" s="122">
        <v>4039.87</v>
      </c>
    </row>
    <row r="4138" spans="32:34">
      <c r="AF4138" s="367">
        <f t="shared" si="64"/>
        <v>43922</v>
      </c>
      <c r="AG4138" s="372">
        <v>43948</v>
      </c>
      <c r="AH4138" s="122">
        <v>4039.87</v>
      </c>
    </row>
    <row r="4139" spans="32:34">
      <c r="AF4139" s="367">
        <f t="shared" si="64"/>
        <v>43922</v>
      </c>
      <c r="AG4139" s="372">
        <v>43949</v>
      </c>
      <c r="AH4139" s="122">
        <v>4039.83</v>
      </c>
    </row>
    <row r="4140" spans="32:34">
      <c r="AF4140" s="367">
        <f t="shared" si="64"/>
        <v>43922</v>
      </c>
      <c r="AG4140" s="372">
        <v>43950</v>
      </c>
      <c r="AH4140" s="122">
        <v>4046.04</v>
      </c>
    </row>
    <row r="4141" spans="32:34">
      <c r="AF4141" s="367">
        <f t="shared" si="64"/>
        <v>43922</v>
      </c>
      <c r="AG4141" s="372">
        <v>43951</v>
      </c>
      <c r="AH4141" s="122">
        <v>3983.29</v>
      </c>
    </row>
    <row r="4142" spans="32:34">
      <c r="AF4142" s="367">
        <f t="shared" si="64"/>
        <v>43952</v>
      </c>
      <c r="AG4142" s="372">
        <v>43952</v>
      </c>
      <c r="AH4142" s="122">
        <v>3932.72</v>
      </c>
    </row>
    <row r="4143" spans="32:34">
      <c r="AF4143" s="367">
        <f t="shared" si="64"/>
        <v>43952</v>
      </c>
      <c r="AG4143" s="372">
        <v>43953</v>
      </c>
      <c r="AH4143" s="122">
        <v>3932.72</v>
      </c>
    </row>
    <row r="4144" spans="32:34">
      <c r="AF4144" s="367">
        <f t="shared" si="64"/>
        <v>43952</v>
      </c>
      <c r="AG4144" s="372">
        <v>43954</v>
      </c>
      <c r="AH4144" s="122">
        <v>3932.72</v>
      </c>
    </row>
    <row r="4145" spans="32:34">
      <c r="AF4145" s="367">
        <f t="shared" si="64"/>
        <v>43952</v>
      </c>
      <c r="AG4145" s="372">
        <v>43955</v>
      </c>
      <c r="AH4145" s="122">
        <v>3932.72</v>
      </c>
    </row>
    <row r="4146" spans="32:34">
      <c r="AF4146" s="367">
        <f t="shared" si="64"/>
        <v>43952</v>
      </c>
      <c r="AG4146" s="372">
        <v>43956</v>
      </c>
      <c r="AH4146" s="122">
        <v>3990.1</v>
      </c>
    </row>
    <row r="4147" spans="32:34">
      <c r="AF4147" s="367">
        <f t="shared" si="64"/>
        <v>43952</v>
      </c>
      <c r="AG4147" s="372">
        <v>43957</v>
      </c>
      <c r="AH4147" s="122">
        <v>3926.07</v>
      </c>
    </row>
    <row r="4148" spans="32:34">
      <c r="AF4148" s="367">
        <f t="shared" si="64"/>
        <v>43952</v>
      </c>
      <c r="AG4148" s="372">
        <v>43958</v>
      </c>
      <c r="AH4148" s="122">
        <v>3961.66</v>
      </c>
    </row>
    <row r="4149" spans="32:34">
      <c r="AF4149" s="367">
        <f t="shared" si="64"/>
        <v>43952</v>
      </c>
      <c r="AG4149" s="372">
        <v>43959</v>
      </c>
      <c r="AH4149" s="122">
        <v>3924.54</v>
      </c>
    </row>
    <row r="4150" spans="32:34">
      <c r="AF4150" s="367">
        <f t="shared" si="64"/>
        <v>43952</v>
      </c>
      <c r="AG4150" s="372">
        <v>43960</v>
      </c>
      <c r="AH4150" s="122">
        <v>3882.27</v>
      </c>
    </row>
    <row r="4151" spans="32:34">
      <c r="AF4151" s="367">
        <f t="shared" si="64"/>
        <v>43952</v>
      </c>
      <c r="AG4151" s="372">
        <v>43961</v>
      </c>
      <c r="AH4151" s="122">
        <v>3882.27</v>
      </c>
    </row>
    <row r="4152" spans="32:34">
      <c r="AF4152" s="367">
        <f t="shared" si="64"/>
        <v>43952</v>
      </c>
      <c r="AG4152" s="372">
        <v>43962</v>
      </c>
      <c r="AH4152" s="122">
        <v>3882.27</v>
      </c>
    </row>
    <row r="4153" spans="32:34">
      <c r="AF4153" s="367">
        <f t="shared" si="64"/>
        <v>43952</v>
      </c>
      <c r="AG4153" s="372">
        <v>43963</v>
      </c>
      <c r="AH4153" s="122">
        <v>3901.34</v>
      </c>
    </row>
    <row r="4154" spans="32:34">
      <c r="AF4154" s="367">
        <f t="shared" si="64"/>
        <v>43952</v>
      </c>
      <c r="AG4154" s="372">
        <v>43964</v>
      </c>
      <c r="AH4154" s="122">
        <v>3880.48</v>
      </c>
    </row>
    <row r="4155" spans="32:34">
      <c r="AF4155" s="367">
        <f t="shared" si="64"/>
        <v>43952</v>
      </c>
      <c r="AG4155" s="372">
        <v>43965</v>
      </c>
      <c r="AH4155" s="122">
        <v>3901.3</v>
      </c>
    </row>
    <row r="4156" spans="32:34">
      <c r="AF4156" s="367">
        <f t="shared" si="64"/>
        <v>43952</v>
      </c>
      <c r="AG4156" s="372">
        <v>43966</v>
      </c>
      <c r="AH4156" s="122">
        <v>3947.79</v>
      </c>
    </row>
    <row r="4157" spans="32:34">
      <c r="AF4157" s="367">
        <f t="shared" si="64"/>
        <v>43952</v>
      </c>
      <c r="AG4157" s="372">
        <v>43967</v>
      </c>
      <c r="AH4157" s="122">
        <v>3926.06</v>
      </c>
    </row>
    <row r="4158" spans="32:34">
      <c r="AF4158" s="367">
        <f t="shared" si="64"/>
        <v>43952</v>
      </c>
      <c r="AG4158" s="372">
        <v>43968</v>
      </c>
      <c r="AH4158" s="122">
        <v>3926.06</v>
      </c>
    </row>
    <row r="4159" spans="32:34">
      <c r="AF4159" s="367">
        <f t="shared" si="64"/>
        <v>43952</v>
      </c>
      <c r="AG4159" s="372">
        <v>43969</v>
      </c>
      <c r="AH4159" s="122">
        <v>3926.06</v>
      </c>
    </row>
    <row r="4160" spans="32:34">
      <c r="AF4160" s="367">
        <f t="shared" si="64"/>
        <v>43952</v>
      </c>
      <c r="AG4160" s="372">
        <v>43970</v>
      </c>
      <c r="AH4160" s="122">
        <v>3851.07</v>
      </c>
    </row>
    <row r="4161" spans="32:34">
      <c r="AF4161" s="367">
        <f t="shared" si="64"/>
        <v>43952</v>
      </c>
      <c r="AG4161" s="372">
        <v>43971</v>
      </c>
      <c r="AH4161" s="122">
        <v>3824.3</v>
      </c>
    </row>
    <row r="4162" spans="32:34">
      <c r="AF4162" s="367">
        <f t="shared" si="64"/>
        <v>43952</v>
      </c>
      <c r="AG4162" s="372">
        <v>43972</v>
      </c>
      <c r="AH4162" s="122">
        <v>3804.12</v>
      </c>
    </row>
    <row r="4163" spans="32:34">
      <c r="AF4163" s="367">
        <f t="shared" si="64"/>
        <v>43952</v>
      </c>
      <c r="AG4163" s="372">
        <v>43973</v>
      </c>
      <c r="AH4163" s="122">
        <v>3774.25</v>
      </c>
    </row>
    <row r="4164" spans="32:34">
      <c r="AF4164" s="367">
        <f t="shared" ref="AF4164:AF4227" si="65">+DATE(YEAR(AG4164),MONTH(AG4164),1)</f>
        <v>43952</v>
      </c>
      <c r="AG4164" s="372">
        <v>43974</v>
      </c>
      <c r="AH4164" s="122">
        <v>3782.66</v>
      </c>
    </row>
    <row r="4165" spans="32:34">
      <c r="AF4165" s="367">
        <f t="shared" si="65"/>
        <v>43952</v>
      </c>
      <c r="AG4165" s="372">
        <v>43975</v>
      </c>
      <c r="AH4165" s="122">
        <v>3782.66</v>
      </c>
    </row>
    <row r="4166" spans="32:34">
      <c r="AF4166" s="367">
        <f t="shared" si="65"/>
        <v>43952</v>
      </c>
      <c r="AG4166" s="372">
        <v>43976</v>
      </c>
      <c r="AH4166" s="122">
        <v>3782.66</v>
      </c>
    </row>
    <row r="4167" spans="32:34">
      <c r="AF4167" s="367">
        <f t="shared" si="65"/>
        <v>43952</v>
      </c>
      <c r="AG4167" s="372">
        <v>43977</v>
      </c>
      <c r="AH4167" s="122">
        <v>3782.66</v>
      </c>
    </row>
    <row r="4168" spans="32:34">
      <c r="AF4168" s="367">
        <f t="shared" si="65"/>
        <v>43952</v>
      </c>
      <c r="AG4168" s="372">
        <v>43978</v>
      </c>
      <c r="AH4168" s="122">
        <v>3725.56</v>
      </c>
    </row>
    <row r="4169" spans="32:34">
      <c r="AF4169" s="367">
        <f t="shared" si="65"/>
        <v>43952</v>
      </c>
      <c r="AG4169" s="372">
        <v>43979</v>
      </c>
      <c r="AH4169" s="122">
        <v>3743.79</v>
      </c>
    </row>
    <row r="4170" spans="32:34">
      <c r="AF4170" s="367">
        <f t="shared" si="65"/>
        <v>43952</v>
      </c>
      <c r="AG4170" s="372">
        <v>43980</v>
      </c>
      <c r="AH4170" s="122">
        <v>3723.42</v>
      </c>
    </row>
    <row r="4171" spans="32:34">
      <c r="AF4171" s="367">
        <f t="shared" si="65"/>
        <v>43952</v>
      </c>
      <c r="AG4171" s="372">
        <v>43981</v>
      </c>
      <c r="AH4171" s="122">
        <v>3718.82</v>
      </c>
    </row>
    <row r="4172" spans="32:34">
      <c r="AF4172" s="367">
        <f t="shared" si="65"/>
        <v>43952</v>
      </c>
      <c r="AG4172" s="372">
        <v>43982</v>
      </c>
      <c r="AH4172" s="122">
        <v>3718.82</v>
      </c>
    </row>
    <row r="4173" spans="32:34">
      <c r="AF4173" s="367">
        <f t="shared" si="65"/>
        <v>43983</v>
      </c>
      <c r="AG4173" s="372">
        <v>43983</v>
      </c>
      <c r="AH4173" s="122">
        <v>3718.82</v>
      </c>
    </row>
    <row r="4174" spans="32:34">
      <c r="AF4174" s="367">
        <f t="shared" si="65"/>
        <v>43983</v>
      </c>
      <c r="AG4174" s="372">
        <v>43984</v>
      </c>
      <c r="AH4174" s="122">
        <v>3716.35</v>
      </c>
    </row>
    <row r="4175" spans="32:34">
      <c r="AF4175" s="367">
        <f t="shared" si="65"/>
        <v>43983</v>
      </c>
      <c r="AG4175" s="372">
        <v>43985</v>
      </c>
      <c r="AH4175" s="122">
        <v>3651.42</v>
      </c>
    </row>
    <row r="4176" spans="32:34">
      <c r="AF4176" s="367">
        <f t="shared" si="65"/>
        <v>43983</v>
      </c>
      <c r="AG4176" s="372">
        <v>43986</v>
      </c>
      <c r="AH4176" s="122">
        <v>3588.89</v>
      </c>
    </row>
    <row r="4177" spans="32:34">
      <c r="AF4177" s="367">
        <f t="shared" si="65"/>
        <v>43983</v>
      </c>
      <c r="AG4177" s="372">
        <v>43987</v>
      </c>
      <c r="AH4177" s="122">
        <v>3597.47</v>
      </c>
    </row>
    <row r="4178" spans="32:34">
      <c r="AF4178" s="367">
        <f t="shared" si="65"/>
        <v>43983</v>
      </c>
      <c r="AG4178" s="372">
        <v>43988</v>
      </c>
      <c r="AH4178" s="122">
        <v>3565.06</v>
      </c>
    </row>
    <row r="4179" spans="32:34">
      <c r="AF4179" s="367">
        <f t="shared" si="65"/>
        <v>43983</v>
      </c>
      <c r="AG4179" s="372">
        <v>43989</v>
      </c>
      <c r="AH4179" s="122">
        <v>3565.06</v>
      </c>
    </row>
    <row r="4180" spans="32:34">
      <c r="AF4180" s="367">
        <f t="shared" si="65"/>
        <v>43983</v>
      </c>
      <c r="AG4180" s="372">
        <v>43990</v>
      </c>
      <c r="AH4180" s="122">
        <v>3565.06</v>
      </c>
    </row>
    <row r="4181" spans="32:34">
      <c r="AF4181" s="367">
        <f t="shared" si="65"/>
        <v>43983</v>
      </c>
      <c r="AG4181" s="372">
        <v>43991</v>
      </c>
      <c r="AH4181" s="122">
        <v>3599</v>
      </c>
    </row>
    <row r="4182" spans="32:34">
      <c r="AF4182" s="367">
        <f t="shared" si="65"/>
        <v>43983</v>
      </c>
      <c r="AG4182" s="372">
        <v>43992</v>
      </c>
      <c r="AH4182" s="122">
        <v>3643.02</v>
      </c>
    </row>
    <row r="4183" spans="32:34">
      <c r="AF4183" s="367">
        <f t="shared" si="65"/>
        <v>43983</v>
      </c>
      <c r="AG4183" s="372">
        <v>43993</v>
      </c>
      <c r="AH4183" s="122">
        <v>3674.81</v>
      </c>
    </row>
    <row r="4184" spans="32:34">
      <c r="AF4184" s="367">
        <f t="shared" si="65"/>
        <v>43983</v>
      </c>
      <c r="AG4184" s="372">
        <v>43994</v>
      </c>
      <c r="AH4184" s="122">
        <v>3746.46</v>
      </c>
    </row>
    <row r="4185" spans="32:34">
      <c r="AF4185" s="367">
        <f t="shared" si="65"/>
        <v>43983</v>
      </c>
      <c r="AG4185" s="372">
        <v>43995</v>
      </c>
      <c r="AH4185" s="122">
        <v>3758.15</v>
      </c>
    </row>
    <row r="4186" spans="32:34">
      <c r="AF4186" s="367">
        <f t="shared" si="65"/>
        <v>43983</v>
      </c>
      <c r="AG4186" s="372">
        <v>43996</v>
      </c>
      <c r="AH4186" s="122">
        <v>3758.15</v>
      </c>
    </row>
    <row r="4187" spans="32:34">
      <c r="AF4187" s="367">
        <f t="shared" si="65"/>
        <v>43983</v>
      </c>
      <c r="AG4187" s="372">
        <v>43997</v>
      </c>
      <c r="AH4187" s="122">
        <v>3758.15</v>
      </c>
    </row>
    <row r="4188" spans="32:34">
      <c r="AF4188" s="367">
        <f t="shared" si="65"/>
        <v>43983</v>
      </c>
      <c r="AG4188" s="372">
        <v>43998</v>
      </c>
      <c r="AH4188" s="122">
        <v>3758.15</v>
      </c>
    </row>
    <row r="4189" spans="32:34">
      <c r="AF4189" s="367">
        <f t="shared" si="65"/>
        <v>43983</v>
      </c>
      <c r="AG4189" s="372">
        <v>43999</v>
      </c>
      <c r="AH4189" s="122">
        <v>3741.88</v>
      </c>
    </row>
    <row r="4190" spans="32:34">
      <c r="AF4190" s="367">
        <f t="shared" si="65"/>
        <v>43983</v>
      </c>
      <c r="AG4190" s="372">
        <v>44000</v>
      </c>
      <c r="AH4190" s="122">
        <v>3749.03</v>
      </c>
    </row>
    <row r="4191" spans="32:34">
      <c r="AF4191" s="367">
        <f t="shared" si="65"/>
        <v>43983</v>
      </c>
      <c r="AG4191" s="372">
        <v>44001</v>
      </c>
      <c r="AH4191" s="122">
        <v>3760.22</v>
      </c>
    </row>
    <row r="4192" spans="32:34">
      <c r="AF4192" s="367">
        <f t="shared" si="65"/>
        <v>43983</v>
      </c>
      <c r="AG4192" s="372">
        <v>44002</v>
      </c>
      <c r="AH4192" s="122">
        <v>3733.27</v>
      </c>
    </row>
    <row r="4193" spans="32:34">
      <c r="AF4193" s="367">
        <f t="shared" si="65"/>
        <v>43983</v>
      </c>
      <c r="AG4193" s="372">
        <v>44003</v>
      </c>
      <c r="AH4193" s="122">
        <v>3733.27</v>
      </c>
    </row>
    <row r="4194" spans="32:34">
      <c r="AF4194" s="367">
        <f t="shared" si="65"/>
        <v>43983</v>
      </c>
      <c r="AG4194" s="372">
        <v>44004</v>
      </c>
      <c r="AH4194" s="122">
        <v>3733.27</v>
      </c>
    </row>
    <row r="4195" spans="32:34">
      <c r="AF4195" s="367">
        <f t="shared" si="65"/>
        <v>43983</v>
      </c>
      <c r="AG4195" s="372">
        <v>44005</v>
      </c>
      <c r="AH4195" s="122">
        <v>3733.27</v>
      </c>
    </row>
    <row r="4196" spans="32:34">
      <c r="AF4196" s="367">
        <f t="shared" si="65"/>
        <v>43983</v>
      </c>
      <c r="AG4196" s="372">
        <v>44006</v>
      </c>
      <c r="AH4196" s="122">
        <v>3706.06</v>
      </c>
    </row>
    <row r="4197" spans="32:34">
      <c r="AF4197" s="367">
        <f t="shared" si="65"/>
        <v>43983</v>
      </c>
      <c r="AG4197" s="372">
        <v>44007</v>
      </c>
      <c r="AH4197" s="122">
        <v>3722.27</v>
      </c>
    </row>
    <row r="4198" spans="32:34">
      <c r="AF4198" s="367">
        <f t="shared" si="65"/>
        <v>43983</v>
      </c>
      <c r="AG4198" s="372">
        <v>44008</v>
      </c>
      <c r="AH4198" s="122">
        <v>3735.93</v>
      </c>
    </row>
    <row r="4199" spans="32:34">
      <c r="AF4199" s="367">
        <f t="shared" si="65"/>
        <v>43983</v>
      </c>
      <c r="AG4199" s="372">
        <v>44009</v>
      </c>
      <c r="AH4199" s="122">
        <v>3758.91</v>
      </c>
    </row>
    <row r="4200" spans="32:34">
      <c r="AF4200" s="367">
        <f t="shared" si="65"/>
        <v>43983</v>
      </c>
      <c r="AG4200" s="372">
        <v>44010</v>
      </c>
      <c r="AH4200" s="122">
        <v>3758.91</v>
      </c>
    </row>
    <row r="4201" spans="32:34">
      <c r="AF4201" s="367">
        <f t="shared" si="65"/>
        <v>43983</v>
      </c>
      <c r="AG4201" s="372">
        <v>44011</v>
      </c>
      <c r="AH4201" s="122">
        <v>3758.91</v>
      </c>
    </row>
    <row r="4202" spans="32:34">
      <c r="AF4202" s="367">
        <f t="shared" si="65"/>
        <v>43983</v>
      </c>
      <c r="AG4202" s="372">
        <v>44012</v>
      </c>
      <c r="AH4202" s="122">
        <v>3758.91</v>
      </c>
    </row>
    <row r="4203" spans="32:34">
      <c r="AF4203" s="367">
        <f t="shared" si="65"/>
        <v>44013</v>
      </c>
      <c r="AG4203" s="372">
        <v>44013</v>
      </c>
      <c r="AH4203" s="122">
        <v>3756.28</v>
      </c>
    </row>
    <row r="4204" spans="32:34">
      <c r="AF4204" s="367">
        <f t="shared" si="65"/>
        <v>44013</v>
      </c>
      <c r="AG4204" s="372">
        <v>44014</v>
      </c>
      <c r="AH4204" s="122">
        <v>3723.67</v>
      </c>
    </row>
    <row r="4205" spans="32:34">
      <c r="AF4205" s="367">
        <f t="shared" si="65"/>
        <v>44013</v>
      </c>
      <c r="AG4205" s="372">
        <v>44015</v>
      </c>
      <c r="AH4205" s="122">
        <v>3660.18</v>
      </c>
    </row>
    <row r="4206" spans="32:34">
      <c r="AF4206" s="367">
        <f t="shared" si="65"/>
        <v>44013</v>
      </c>
      <c r="AG4206" s="372">
        <v>44016</v>
      </c>
      <c r="AH4206" s="122">
        <v>3645.9</v>
      </c>
    </row>
    <row r="4207" spans="32:34">
      <c r="AF4207" s="367">
        <f t="shared" si="65"/>
        <v>44013</v>
      </c>
      <c r="AG4207" s="372">
        <v>44017</v>
      </c>
      <c r="AH4207" s="122">
        <v>3645.9</v>
      </c>
    </row>
    <row r="4208" spans="32:34">
      <c r="AF4208" s="367">
        <f t="shared" si="65"/>
        <v>44013</v>
      </c>
      <c r="AG4208" s="372">
        <v>44018</v>
      </c>
      <c r="AH4208" s="122">
        <v>3645.9</v>
      </c>
    </row>
    <row r="4209" spans="32:34">
      <c r="AF4209" s="367">
        <f t="shared" si="65"/>
        <v>44013</v>
      </c>
      <c r="AG4209" s="372">
        <v>44019</v>
      </c>
      <c r="AH4209" s="122">
        <v>3633.32</v>
      </c>
    </row>
    <row r="4210" spans="32:34">
      <c r="AF4210" s="367">
        <f t="shared" si="65"/>
        <v>44013</v>
      </c>
      <c r="AG4210" s="372">
        <v>44020</v>
      </c>
      <c r="AH4210" s="122">
        <v>3631.54</v>
      </c>
    </row>
    <row r="4211" spans="32:34">
      <c r="AF4211" s="367">
        <f t="shared" si="65"/>
        <v>44013</v>
      </c>
      <c r="AG4211" s="372">
        <v>44021</v>
      </c>
      <c r="AH4211" s="122">
        <v>3625.61</v>
      </c>
    </row>
    <row r="4212" spans="32:34">
      <c r="AF4212" s="367">
        <f t="shared" si="65"/>
        <v>44013</v>
      </c>
      <c r="AG4212" s="372">
        <v>44022</v>
      </c>
      <c r="AH4212" s="122">
        <v>3633.42</v>
      </c>
    </row>
    <row r="4213" spans="32:34">
      <c r="AF4213" s="367">
        <f t="shared" si="65"/>
        <v>44013</v>
      </c>
      <c r="AG4213" s="372">
        <v>44023</v>
      </c>
      <c r="AH4213" s="122">
        <v>3615.75</v>
      </c>
    </row>
    <row r="4214" spans="32:34">
      <c r="AF4214" s="367">
        <f t="shared" si="65"/>
        <v>44013</v>
      </c>
      <c r="AG4214" s="372">
        <v>44024</v>
      </c>
      <c r="AH4214" s="122">
        <v>3615.75</v>
      </c>
    </row>
    <row r="4215" spans="32:34">
      <c r="AF4215" s="367">
        <f t="shared" si="65"/>
        <v>44013</v>
      </c>
      <c r="AG4215" s="372">
        <v>44025</v>
      </c>
      <c r="AH4215" s="122">
        <v>3615.75</v>
      </c>
    </row>
    <row r="4216" spans="32:34">
      <c r="AF4216" s="367">
        <f t="shared" si="65"/>
        <v>44013</v>
      </c>
      <c r="AG4216" s="372">
        <v>44026</v>
      </c>
      <c r="AH4216" s="122">
        <v>3617.22</v>
      </c>
    </row>
    <row r="4217" spans="32:34">
      <c r="AF4217" s="367">
        <f t="shared" si="65"/>
        <v>44013</v>
      </c>
      <c r="AG4217" s="372">
        <v>44027</v>
      </c>
      <c r="AH4217" s="122">
        <v>3638.22</v>
      </c>
    </row>
    <row r="4218" spans="32:34">
      <c r="AF4218" s="367">
        <f t="shared" si="65"/>
        <v>44013</v>
      </c>
      <c r="AG4218" s="372">
        <v>44028</v>
      </c>
      <c r="AH4218" s="122">
        <v>3611.61</v>
      </c>
    </row>
    <row r="4219" spans="32:34">
      <c r="AF4219" s="367">
        <f t="shared" si="65"/>
        <v>44013</v>
      </c>
      <c r="AG4219" s="372">
        <v>44029</v>
      </c>
      <c r="AH4219" s="122">
        <v>3627.86</v>
      </c>
    </row>
    <row r="4220" spans="32:34">
      <c r="AF4220" s="367">
        <f t="shared" si="65"/>
        <v>44013</v>
      </c>
      <c r="AG4220" s="372">
        <v>44030</v>
      </c>
      <c r="AH4220" s="122">
        <v>3651.93</v>
      </c>
    </row>
    <row r="4221" spans="32:34">
      <c r="AF4221" s="367">
        <f t="shared" si="65"/>
        <v>44013</v>
      </c>
      <c r="AG4221" s="372">
        <v>44031</v>
      </c>
      <c r="AH4221" s="122">
        <v>3651.93</v>
      </c>
    </row>
    <row r="4222" spans="32:34">
      <c r="AF4222" s="367">
        <f t="shared" si="65"/>
        <v>44013</v>
      </c>
      <c r="AG4222" s="372">
        <v>44032</v>
      </c>
      <c r="AH4222" s="122">
        <v>3651.93</v>
      </c>
    </row>
    <row r="4223" spans="32:34">
      <c r="AF4223" s="367">
        <f t="shared" si="65"/>
        <v>44013</v>
      </c>
      <c r="AG4223" s="372">
        <v>44033</v>
      </c>
      <c r="AH4223" s="122">
        <v>3651.93</v>
      </c>
    </row>
    <row r="4224" spans="32:34">
      <c r="AF4224" s="367">
        <f t="shared" si="65"/>
        <v>44013</v>
      </c>
      <c r="AG4224" s="372">
        <v>44034</v>
      </c>
      <c r="AH4224" s="122">
        <v>3628.2</v>
      </c>
    </row>
    <row r="4225" spans="32:34">
      <c r="AF4225" s="367">
        <f t="shared" si="65"/>
        <v>44013</v>
      </c>
      <c r="AG4225" s="372">
        <v>44035</v>
      </c>
      <c r="AH4225" s="122">
        <v>3627.28</v>
      </c>
    </row>
    <row r="4226" spans="32:34">
      <c r="AF4226" s="367">
        <f t="shared" si="65"/>
        <v>44013</v>
      </c>
      <c r="AG4226" s="372">
        <v>44036</v>
      </c>
      <c r="AH4226" s="122">
        <v>3660.15</v>
      </c>
    </row>
    <row r="4227" spans="32:34">
      <c r="AF4227" s="367">
        <f t="shared" si="65"/>
        <v>44013</v>
      </c>
      <c r="AG4227" s="372">
        <v>44037</v>
      </c>
      <c r="AH4227" s="122">
        <v>3690.8</v>
      </c>
    </row>
    <row r="4228" spans="32:34">
      <c r="AF4228" s="367">
        <f t="shared" ref="AF4228:AF4291" si="66">+DATE(YEAR(AG4228),MONTH(AG4228),1)</f>
        <v>44013</v>
      </c>
      <c r="AG4228" s="372">
        <v>44038</v>
      </c>
      <c r="AH4228" s="122">
        <v>3690.8</v>
      </c>
    </row>
    <row r="4229" spans="32:34">
      <c r="AF4229" s="367">
        <f t="shared" si="66"/>
        <v>44013</v>
      </c>
      <c r="AG4229" s="372">
        <v>44039</v>
      </c>
      <c r="AH4229" s="122">
        <v>3690.8</v>
      </c>
    </row>
    <row r="4230" spans="32:34">
      <c r="AF4230" s="367">
        <f t="shared" si="66"/>
        <v>44013</v>
      </c>
      <c r="AG4230" s="372">
        <v>44040</v>
      </c>
      <c r="AH4230" s="122">
        <v>3679.17</v>
      </c>
    </row>
    <row r="4231" spans="32:34">
      <c r="AF4231" s="367">
        <f t="shared" si="66"/>
        <v>44013</v>
      </c>
      <c r="AG4231" s="372">
        <v>44041</v>
      </c>
      <c r="AH4231" s="122">
        <v>3718.69</v>
      </c>
    </row>
    <row r="4232" spans="32:34">
      <c r="AF4232" s="367">
        <f t="shared" si="66"/>
        <v>44013</v>
      </c>
      <c r="AG4232" s="372">
        <v>44042</v>
      </c>
      <c r="AH4232" s="122">
        <v>3716.89</v>
      </c>
    </row>
    <row r="4233" spans="32:34">
      <c r="AF4233" s="367">
        <f t="shared" si="66"/>
        <v>44013</v>
      </c>
      <c r="AG4233" s="372">
        <v>44043</v>
      </c>
      <c r="AH4233" s="122">
        <v>3739.49</v>
      </c>
    </row>
    <row r="4234" spans="32:34">
      <c r="AF4234" s="367">
        <f t="shared" si="66"/>
        <v>44044</v>
      </c>
      <c r="AG4234" s="372">
        <v>44044</v>
      </c>
      <c r="AH4234" s="122">
        <v>3733.08</v>
      </c>
    </row>
    <row r="4235" spans="32:34">
      <c r="AF4235" s="367">
        <f t="shared" si="66"/>
        <v>44044</v>
      </c>
      <c r="AG4235" s="372">
        <v>44045</v>
      </c>
      <c r="AH4235" s="122">
        <v>3733.08</v>
      </c>
    </row>
    <row r="4236" spans="32:34">
      <c r="AF4236" s="367">
        <f t="shared" si="66"/>
        <v>44044</v>
      </c>
      <c r="AG4236" s="372">
        <v>44046</v>
      </c>
      <c r="AH4236" s="122">
        <v>3733.08</v>
      </c>
    </row>
    <row r="4237" spans="32:34">
      <c r="AF4237" s="367">
        <f t="shared" si="66"/>
        <v>44044</v>
      </c>
      <c r="AG4237" s="372">
        <v>44047</v>
      </c>
      <c r="AH4237" s="122">
        <v>3768.39</v>
      </c>
    </row>
    <row r="4238" spans="32:34">
      <c r="AF4238" s="367">
        <f t="shared" si="66"/>
        <v>44044</v>
      </c>
      <c r="AG4238" s="372">
        <v>44048</v>
      </c>
      <c r="AH4238" s="122">
        <v>3792.98</v>
      </c>
    </row>
    <row r="4239" spans="32:34">
      <c r="AF4239" s="367">
        <f t="shared" si="66"/>
        <v>44044</v>
      </c>
      <c r="AG4239" s="372">
        <v>44049</v>
      </c>
      <c r="AH4239" s="122">
        <v>3775.95</v>
      </c>
    </row>
    <row r="4240" spans="32:34">
      <c r="AF4240" s="367">
        <f t="shared" si="66"/>
        <v>44044</v>
      </c>
      <c r="AG4240" s="372">
        <v>44050</v>
      </c>
      <c r="AH4240" s="122">
        <v>3769.67</v>
      </c>
    </row>
    <row r="4241" spans="32:34">
      <c r="AF4241" s="367">
        <f t="shared" si="66"/>
        <v>44044</v>
      </c>
      <c r="AG4241" s="372">
        <v>44051</v>
      </c>
      <c r="AH4241" s="122">
        <v>3769.67</v>
      </c>
    </row>
    <row r="4242" spans="32:34">
      <c r="AF4242" s="367">
        <f t="shared" si="66"/>
        <v>44044</v>
      </c>
      <c r="AG4242" s="372">
        <v>44052</v>
      </c>
      <c r="AH4242" s="122">
        <v>3769.67</v>
      </c>
    </row>
    <row r="4243" spans="32:34">
      <c r="AF4243" s="367">
        <f t="shared" si="66"/>
        <v>44044</v>
      </c>
      <c r="AG4243" s="372">
        <v>44053</v>
      </c>
      <c r="AH4243" s="122">
        <v>3769.67</v>
      </c>
    </row>
    <row r="4244" spans="32:34">
      <c r="AF4244" s="367">
        <f t="shared" si="66"/>
        <v>44044</v>
      </c>
      <c r="AG4244" s="372">
        <v>44054</v>
      </c>
      <c r="AH4244" s="122">
        <v>3770.22</v>
      </c>
    </row>
    <row r="4245" spans="32:34">
      <c r="AF4245" s="367">
        <f t="shared" si="66"/>
        <v>44044</v>
      </c>
      <c r="AG4245" s="372">
        <v>44055</v>
      </c>
      <c r="AH4245" s="122">
        <v>3749.3</v>
      </c>
    </row>
    <row r="4246" spans="32:34">
      <c r="AF4246" s="367">
        <f t="shared" si="66"/>
        <v>44044</v>
      </c>
      <c r="AG4246" s="372">
        <v>44056</v>
      </c>
      <c r="AH4246" s="122">
        <v>3755.61</v>
      </c>
    </row>
    <row r="4247" spans="32:34">
      <c r="AF4247" s="367">
        <f t="shared" si="66"/>
        <v>44044</v>
      </c>
      <c r="AG4247" s="372">
        <v>44057</v>
      </c>
      <c r="AH4247" s="122">
        <v>3767.05</v>
      </c>
    </row>
    <row r="4248" spans="32:34">
      <c r="AF4248" s="367">
        <f t="shared" si="66"/>
        <v>44044</v>
      </c>
      <c r="AG4248" s="372">
        <v>44058</v>
      </c>
      <c r="AH4248" s="122">
        <v>3783.15</v>
      </c>
    </row>
    <row r="4249" spans="32:34">
      <c r="AF4249" s="367">
        <f t="shared" si="66"/>
        <v>44044</v>
      </c>
      <c r="AG4249" s="372">
        <v>44059</v>
      </c>
      <c r="AH4249" s="122">
        <v>3783.15</v>
      </c>
    </row>
    <row r="4250" spans="32:34">
      <c r="AF4250" s="367">
        <f t="shared" si="66"/>
        <v>44044</v>
      </c>
      <c r="AG4250" s="372">
        <v>44060</v>
      </c>
      <c r="AH4250" s="122">
        <v>3783.15</v>
      </c>
    </row>
    <row r="4251" spans="32:34">
      <c r="AF4251" s="367">
        <f t="shared" si="66"/>
        <v>44044</v>
      </c>
      <c r="AG4251" s="372">
        <v>44061</v>
      </c>
      <c r="AH4251" s="122">
        <v>3783.15</v>
      </c>
    </row>
    <row r="4252" spans="32:34">
      <c r="AF4252" s="367">
        <f t="shared" si="66"/>
        <v>44044</v>
      </c>
      <c r="AG4252" s="372">
        <v>44062</v>
      </c>
      <c r="AH4252" s="122">
        <v>3784.15</v>
      </c>
    </row>
    <row r="4253" spans="32:34">
      <c r="AF4253" s="367">
        <f t="shared" si="66"/>
        <v>44044</v>
      </c>
      <c r="AG4253" s="372">
        <v>44063</v>
      </c>
      <c r="AH4253" s="122">
        <v>3766.73</v>
      </c>
    </row>
    <row r="4254" spans="32:34">
      <c r="AF4254" s="367">
        <f t="shared" si="66"/>
        <v>44044</v>
      </c>
      <c r="AG4254" s="372">
        <v>44064</v>
      </c>
      <c r="AH4254" s="122">
        <v>3792.13</v>
      </c>
    </row>
    <row r="4255" spans="32:34">
      <c r="AF4255" s="367">
        <f t="shared" si="66"/>
        <v>44044</v>
      </c>
      <c r="AG4255" s="372">
        <v>44065</v>
      </c>
      <c r="AH4255" s="122">
        <v>3827.27</v>
      </c>
    </row>
    <row r="4256" spans="32:34">
      <c r="AF4256" s="367">
        <f t="shared" si="66"/>
        <v>44044</v>
      </c>
      <c r="AG4256" s="372">
        <v>44066</v>
      </c>
      <c r="AH4256" s="122">
        <v>3827.27</v>
      </c>
    </row>
    <row r="4257" spans="32:34">
      <c r="AF4257" s="367">
        <f t="shared" si="66"/>
        <v>44044</v>
      </c>
      <c r="AG4257" s="372">
        <v>44067</v>
      </c>
      <c r="AH4257" s="122">
        <v>3827.27</v>
      </c>
    </row>
    <row r="4258" spans="32:34">
      <c r="AF4258" s="367">
        <f t="shared" si="66"/>
        <v>44044</v>
      </c>
      <c r="AG4258" s="372">
        <v>44068</v>
      </c>
      <c r="AH4258" s="122">
        <v>3843.69</v>
      </c>
    </row>
    <row r="4259" spans="32:34">
      <c r="AF4259" s="367">
        <f t="shared" si="66"/>
        <v>44044</v>
      </c>
      <c r="AG4259" s="372">
        <v>44069</v>
      </c>
      <c r="AH4259" s="122">
        <v>3867.32</v>
      </c>
    </row>
    <row r="4260" spans="32:34">
      <c r="AF4260" s="367">
        <f t="shared" si="66"/>
        <v>44044</v>
      </c>
      <c r="AG4260" s="372">
        <v>44070</v>
      </c>
      <c r="AH4260" s="122">
        <v>3846.64</v>
      </c>
    </row>
    <row r="4261" spans="32:34">
      <c r="AF4261" s="367">
        <f t="shared" si="66"/>
        <v>44044</v>
      </c>
      <c r="AG4261" s="372">
        <v>44071</v>
      </c>
      <c r="AH4261" s="122">
        <v>3820.17</v>
      </c>
    </row>
    <row r="4262" spans="32:34">
      <c r="AF4262" s="367">
        <f t="shared" si="66"/>
        <v>44044</v>
      </c>
      <c r="AG4262" s="372">
        <v>44072</v>
      </c>
      <c r="AH4262" s="122">
        <v>3760.38</v>
      </c>
    </row>
    <row r="4263" spans="32:34">
      <c r="AF4263" s="367">
        <f t="shared" si="66"/>
        <v>44044</v>
      </c>
      <c r="AG4263" s="372">
        <v>44073</v>
      </c>
      <c r="AH4263" s="122">
        <v>3760.38</v>
      </c>
    </row>
    <row r="4264" spans="32:34">
      <c r="AF4264" s="367">
        <f t="shared" si="66"/>
        <v>44044</v>
      </c>
      <c r="AG4264" s="372">
        <v>44074</v>
      </c>
      <c r="AH4264" s="122">
        <v>3760.38</v>
      </c>
    </row>
    <row r="4265" spans="32:34">
      <c r="AF4265" s="367">
        <f t="shared" si="66"/>
        <v>44075</v>
      </c>
      <c r="AG4265" s="372">
        <v>44075</v>
      </c>
      <c r="AH4265" s="122">
        <v>3745.41</v>
      </c>
    </row>
    <row r="4266" spans="32:34">
      <c r="AF4266" s="367">
        <f t="shared" si="66"/>
        <v>44075</v>
      </c>
      <c r="AG4266" s="372">
        <v>44076</v>
      </c>
      <c r="AH4266" s="122">
        <v>3683.28</v>
      </c>
    </row>
    <row r="4267" spans="32:34">
      <c r="AF4267" s="367">
        <f t="shared" si="66"/>
        <v>44075</v>
      </c>
      <c r="AG4267" s="372">
        <v>44077</v>
      </c>
      <c r="AH4267" s="122">
        <v>3653.7</v>
      </c>
    </row>
    <row r="4268" spans="32:34">
      <c r="AF4268" s="367">
        <f t="shared" si="66"/>
        <v>44075</v>
      </c>
      <c r="AG4268" s="372">
        <v>44078</v>
      </c>
      <c r="AH4268" s="122">
        <v>3653.23</v>
      </c>
    </row>
    <row r="4269" spans="32:34">
      <c r="AF4269" s="367">
        <f t="shared" si="66"/>
        <v>44075</v>
      </c>
      <c r="AG4269" s="372">
        <v>44079</v>
      </c>
      <c r="AH4269" s="122">
        <v>3702.62</v>
      </c>
    </row>
    <row r="4270" spans="32:34">
      <c r="AF4270" s="367">
        <f t="shared" si="66"/>
        <v>44075</v>
      </c>
      <c r="AG4270" s="372">
        <v>44080</v>
      </c>
      <c r="AH4270" s="122">
        <v>3702.62</v>
      </c>
    </row>
    <row r="4271" spans="32:34">
      <c r="AF4271" s="367">
        <f t="shared" si="66"/>
        <v>44075</v>
      </c>
      <c r="AG4271" s="372">
        <v>44081</v>
      </c>
      <c r="AH4271" s="122">
        <v>3702.62</v>
      </c>
    </row>
    <row r="4272" spans="32:34">
      <c r="AF4272" s="367">
        <f t="shared" si="66"/>
        <v>44075</v>
      </c>
      <c r="AG4272" s="372">
        <v>44082</v>
      </c>
      <c r="AH4272" s="122">
        <v>3702.62</v>
      </c>
    </row>
    <row r="4273" spans="32:34">
      <c r="AF4273" s="367">
        <f t="shared" si="66"/>
        <v>44075</v>
      </c>
      <c r="AG4273" s="372">
        <v>44083</v>
      </c>
      <c r="AH4273" s="122">
        <v>3757.21</v>
      </c>
    </row>
    <row r="4274" spans="32:34">
      <c r="AF4274" s="367">
        <f t="shared" si="66"/>
        <v>44075</v>
      </c>
      <c r="AG4274" s="372">
        <v>44084</v>
      </c>
      <c r="AH4274" s="122">
        <v>3717.25</v>
      </c>
    </row>
    <row r="4275" spans="32:34">
      <c r="AF4275" s="367">
        <f t="shared" si="66"/>
        <v>44075</v>
      </c>
      <c r="AG4275" s="372">
        <v>44085</v>
      </c>
      <c r="AH4275" s="122">
        <v>3700.28</v>
      </c>
    </row>
    <row r="4276" spans="32:34">
      <c r="AF4276" s="367">
        <f t="shared" si="66"/>
        <v>44075</v>
      </c>
      <c r="AG4276" s="372">
        <v>44086</v>
      </c>
      <c r="AH4276" s="122">
        <v>3709</v>
      </c>
    </row>
    <row r="4277" spans="32:34">
      <c r="AF4277" s="367">
        <f t="shared" si="66"/>
        <v>44075</v>
      </c>
      <c r="AG4277" s="372">
        <v>44087</v>
      </c>
      <c r="AH4277" s="122">
        <v>3709</v>
      </c>
    </row>
    <row r="4278" spans="32:34">
      <c r="AF4278" s="367">
        <f t="shared" si="66"/>
        <v>44075</v>
      </c>
      <c r="AG4278" s="372">
        <v>44088</v>
      </c>
      <c r="AH4278" s="122">
        <v>3709</v>
      </c>
    </row>
    <row r="4279" spans="32:34">
      <c r="AF4279" s="367">
        <f t="shared" si="66"/>
        <v>44075</v>
      </c>
      <c r="AG4279" s="372">
        <v>44089</v>
      </c>
      <c r="AH4279" s="122">
        <v>3697</v>
      </c>
    </row>
    <row r="4280" spans="32:34">
      <c r="AF4280" s="367">
        <f t="shared" si="66"/>
        <v>44075</v>
      </c>
      <c r="AG4280" s="372">
        <v>44090</v>
      </c>
      <c r="AH4280" s="122">
        <v>3683.49</v>
      </c>
    </row>
    <row r="4281" spans="32:34">
      <c r="AF4281" s="367">
        <f t="shared" si="66"/>
        <v>44075</v>
      </c>
      <c r="AG4281" s="372">
        <v>44091</v>
      </c>
      <c r="AH4281" s="122">
        <v>3703.86</v>
      </c>
    </row>
    <row r="4282" spans="32:34">
      <c r="AF4282" s="367">
        <f t="shared" si="66"/>
        <v>44075</v>
      </c>
      <c r="AG4282" s="372">
        <v>44092</v>
      </c>
      <c r="AH4282" s="122">
        <v>3714.65</v>
      </c>
    </row>
    <row r="4283" spans="32:34">
      <c r="AF4283" s="367">
        <f t="shared" si="66"/>
        <v>44075</v>
      </c>
      <c r="AG4283" s="372">
        <v>44093</v>
      </c>
      <c r="AH4283" s="122">
        <v>3725.37</v>
      </c>
    </row>
    <row r="4284" spans="32:34">
      <c r="AF4284" s="367">
        <f t="shared" si="66"/>
        <v>44075</v>
      </c>
      <c r="AG4284" s="372">
        <v>44094</v>
      </c>
      <c r="AH4284" s="122">
        <v>3725.37</v>
      </c>
    </row>
    <row r="4285" spans="32:34">
      <c r="AF4285" s="367">
        <f t="shared" si="66"/>
        <v>44075</v>
      </c>
      <c r="AG4285" s="372">
        <v>44095</v>
      </c>
      <c r="AH4285" s="122">
        <v>3725.37</v>
      </c>
    </row>
    <row r="4286" spans="32:34">
      <c r="AF4286" s="367">
        <f t="shared" si="66"/>
        <v>44075</v>
      </c>
      <c r="AG4286" s="372">
        <v>44096</v>
      </c>
      <c r="AH4286" s="122">
        <v>3790.54</v>
      </c>
    </row>
    <row r="4287" spans="32:34">
      <c r="AF4287" s="367">
        <f t="shared" si="66"/>
        <v>44075</v>
      </c>
      <c r="AG4287" s="372">
        <v>44097</v>
      </c>
      <c r="AH4287" s="122">
        <v>3813.3</v>
      </c>
    </row>
    <row r="4288" spans="32:34">
      <c r="AF4288" s="367">
        <f t="shared" si="66"/>
        <v>44075</v>
      </c>
      <c r="AG4288" s="372">
        <v>44098</v>
      </c>
      <c r="AH4288" s="122">
        <v>3863.6</v>
      </c>
    </row>
    <row r="4289" spans="32:34">
      <c r="AF4289" s="367">
        <f t="shared" si="66"/>
        <v>44075</v>
      </c>
      <c r="AG4289" s="372">
        <v>44099</v>
      </c>
      <c r="AH4289" s="122">
        <v>3873.8</v>
      </c>
    </row>
    <row r="4290" spans="32:34">
      <c r="AF4290" s="367">
        <f t="shared" si="66"/>
        <v>44075</v>
      </c>
      <c r="AG4290" s="372">
        <v>44100</v>
      </c>
      <c r="AH4290" s="122">
        <v>3867.81</v>
      </c>
    </row>
    <row r="4291" spans="32:34">
      <c r="AF4291" s="367">
        <f t="shared" si="66"/>
        <v>44075</v>
      </c>
      <c r="AG4291" s="372">
        <v>44101</v>
      </c>
      <c r="AH4291" s="122">
        <v>3867.81</v>
      </c>
    </row>
    <row r="4292" spans="32:34">
      <c r="AF4292" s="367">
        <f t="shared" ref="AF4292:AF4355" si="67">+DATE(YEAR(AG4292),MONTH(AG4292),1)</f>
        <v>44075</v>
      </c>
      <c r="AG4292" s="372">
        <v>44102</v>
      </c>
      <c r="AH4292" s="122">
        <v>3867.81</v>
      </c>
    </row>
    <row r="4293" spans="32:34">
      <c r="AF4293" s="367">
        <f t="shared" si="67"/>
        <v>44075</v>
      </c>
      <c r="AG4293" s="372">
        <v>44103</v>
      </c>
      <c r="AH4293" s="122">
        <v>3859.9</v>
      </c>
    </row>
    <row r="4294" spans="32:34">
      <c r="AF4294" s="367">
        <f t="shared" si="67"/>
        <v>44075</v>
      </c>
      <c r="AG4294" s="372">
        <v>44104</v>
      </c>
      <c r="AH4294" s="122">
        <v>3878.94</v>
      </c>
    </row>
    <row r="4295" spans="32:34">
      <c r="AF4295" s="367">
        <f t="shared" si="67"/>
        <v>44105</v>
      </c>
      <c r="AG4295" s="372">
        <v>44105</v>
      </c>
      <c r="AH4295" s="122">
        <v>3865.47</v>
      </c>
    </row>
    <row r="4296" spans="32:34">
      <c r="AF4296" s="367">
        <f t="shared" si="67"/>
        <v>44105</v>
      </c>
      <c r="AG4296" s="372">
        <v>44106</v>
      </c>
      <c r="AH4296" s="122">
        <v>3842.34</v>
      </c>
    </row>
    <row r="4297" spans="32:34">
      <c r="AF4297" s="367">
        <f t="shared" si="67"/>
        <v>44105</v>
      </c>
      <c r="AG4297" s="372">
        <v>44107</v>
      </c>
      <c r="AH4297" s="122">
        <v>3881.8</v>
      </c>
    </row>
    <row r="4298" spans="32:34">
      <c r="AF4298" s="367">
        <f t="shared" si="67"/>
        <v>44105</v>
      </c>
      <c r="AG4298" s="372">
        <v>44108</v>
      </c>
      <c r="AH4298" s="122">
        <v>3881.8</v>
      </c>
    </row>
    <row r="4299" spans="32:34">
      <c r="AF4299" s="367">
        <f t="shared" si="67"/>
        <v>44105</v>
      </c>
      <c r="AG4299" s="372">
        <v>44109</v>
      </c>
      <c r="AH4299" s="122">
        <v>3881.8</v>
      </c>
    </row>
    <row r="4300" spans="32:34">
      <c r="AF4300" s="367">
        <f t="shared" si="67"/>
        <v>44105</v>
      </c>
      <c r="AG4300" s="372">
        <v>44110</v>
      </c>
      <c r="AH4300" s="122">
        <v>3843.75</v>
      </c>
    </row>
    <row r="4301" spans="32:34">
      <c r="AF4301" s="367">
        <f t="shared" si="67"/>
        <v>44105</v>
      </c>
      <c r="AG4301" s="372">
        <v>44111</v>
      </c>
      <c r="AH4301" s="122">
        <v>3826.77</v>
      </c>
    </row>
    <row r="4302" spans="32:34">
      <c r="AF4302" s="367">
        <f t="shared" si="67"/>
        <v>44105</v>
      </c>
      <c r="AG4302" s="372">
        <v>44112</v>
      </c>
      <c r="AH4302" s="122">
        <v>3837.79</v>
      </c>
    </row>
    <row r="4303" spans="32:34">
      <c r="AF4303" s="367">
        <f t="shared" si="67"/>
        <v>44105</v>
      </c>
      <c r="AG4303" s="372">
        <v>44113</v>
      </c>
      <c r="AH4303" s="122">
        <v>3839.73</v>
      </c>
    </row>
    <row r="4304" spans="32:34">
      <c r="AF4304" s="367">
        <f t="shared" si="67"/>
        <v>44105</v>
      </c>
      <c r="AG4304" s="372">
        <v>44114</v>
      </c>
      <c r="AH4304" s="122">
        <v>3824.25</v>
      </c>
    </row>
    <row r="4305" spans="32:34">
      <c r="AF4305" s="367">
        <f t="shared" si="67"/>
        <v>44105</v>
      </c>
      <c r="AG4305" s="372">
        <v>44115</v>
      </c>
      <c r="AH4305" s="122">
        <v>3824.25</v>
      </c>
    </row>
    <row r="4306" spans="32:34">
      <c r="AF4306" s="367">
        <f t="shared" si="67"/>
        <v>44105</v>
      </c>
      <c r="AG4306" s="372">
        <v>44116</v>
      </c>
      <c r="AH4306" s="122">
        <v>3824.25</v>
      </c>
    </row>
    <row r="4307" spans="32:34">
      <c r="AF4307" s="367">
        <f t="shared" si="67"/>
        <v>44105</v>
      </c>
      <c r="AG4307" s="372">
        <v>44117</v>
      </c>
      <c r="AH4307" s="122">
        <v>3824.25</v>
      </c>
    </row>
    <row r="4308" spans="32:34">
      <c r="AF4308" s="367">
        <f t="shared" si="67"/>
        <v>44105</v>
      </c>
      <c r="AG4308" s="372">
        <v>44118</v>
      </c>
      <c r="AH4308" s="122">
        <v>3856.32</v>
      </c>
    </row>
    <row r="4309" spans="32:34">
      <c r="AF4309" s="367">
        <f t="shared" si="67"/>
        <v>44105</v>
      </c>
      <c r="AG4309" s="372">
        <v>44119</v>
      </c>
      <c r="AH4309" s="122">
        <v>3843.59</v>
      </c>
    </row>
    <row r="4310" spans="32:34">
      <c r="AF4310" s="367">
        <f t="shared" si="67"/>
        <v>44105</v>
      </c>
      <c r="AG4310" s="372">
        <v>44120</v>
      </c>
      <c r="AH4310" s="122">
        <v>3854.47</v>
      </c>
    </row>
    <row r="4311" spans="32:34">
      <c r="AF4311" s="367">
        <f t="shared" si="67"/>
        <v>44105</v>
      </c>
      <c r="AG4311" s="372">
        <v>44121</v>
      </c>
      <c r="AH4311" s="122">
        <v>3846.48</v>
      </c>
    </row>
    <row r="4312" spans="32:34">
      <c r="AF4312" s="367">
        <f t="shared" si="67"/>
        <v>44105</v>
      </c>
      <c r="AG4312" s="372">
        <v>44122</v>
      </c>
      <c r="AH4312" s="122">
        <v>3846.48</v>
      </c>
    </row>
    <row r="4313" spans="32:34">
      <c r="AF4313" s="367">
        <f t="shared" si="67"/>
        <v>44105</v>
      </c>
      <c r="AG4313" s="372">
        <v>44123</v>
      </c>
      <c r="AH4313" s="122">
        <v>3846.48</v>
      </c>
    </row>
    <row r="4314" spans="32:34">
      <c r="AF4314" s="367">
        <f t="shared" si="67"/>
        <v>44105</v>
      </c>
      <c r="AG4314" s="372">
        <v>44124</v>
      </c>
      <c r="AH4314" s="122">
        <v>3842.76</v>
      </c>
    </row>
    <row r="4315" spans="32:34">
      <c r="AF4315" s="367">
        <f t="shared" si="67"/>
        <v>44105</v>
      </c>
      <c r="AG4315" s="372">
        <v>44125</v>
      </c>
      <c r="AH4315" s="122">
        <v>3830.79</v>
      </c>
    </row>
    <row r="4316" spans="32:34">
      <c r="AF4316" s="367">
        <f t="shared" si="67"/>
        <v>44105</v>
      </c>
      <c r="AG4316" s="372">
        <v>44126</v>
      </c>
      <c r="AH4316" s="122">
        <v>3784.51</v>
      </c>
    </row>
    <row r="4317" spans="32:34">
      <c r="AF4317" s="367">
        <f t="shared" si="67"/>
        <v>44105</v>
      </c>
      <c r="AG4317" s="372">
        <v>44127</v>
      </c>
      <c r="AH4317" s="122">
        <v>3776.73</v>
      </c>
    </row>
    <row r="4318" spans="32:34">
      <c r="AF4318" s="367">
        <f t="shared" si="67"/>
        <v>44105</v>
      </c>
      <c r="AG4318" s="372">
        <v>44128</v>
      </c>
      <c r="AH4318" s="122">
        <v>3782.66</v>
      </c>
    </row>
    <row r="4319" spans="32:34">
      <c r="AF4319" s="367">
        <f t="shared" si="67"/>
        <v>44105</v>
      </c>
      <c r="AG4319" s="372">
        <v>44129</v>
      </c>
      <c r="AH4319" s="122">
        <v>3782.66</v>
      </c>
    </row>
    <row r="4320" spans="32:34">
      <c r="AF4320" s="367">
        <f t="shared" si="67"/>
        <v>44105</v>
      </c>
      <c r="AG4320" s="372">
        <v>44130</v>
      </c>
      <c r="AH4320" s="122">
        <v>3782.66</v>
      </c>
    </row>
    <row r="4321" spans="32:34">
      <c r="AF4321" s="367">
        <f t="shared" si="67"/>
        <v>44105</v>
      </c>
      <c r="AG4321" s="372">
        <v>44131</v>
      </c>
      <c r="AH4321" s="122">
        <v>3812.82</v>
      </c>
    </row>
    <row r="4322" spans="32:34">
      <c r="AF4322" s="367">
        <f t="shared" si="67"/>
        <v>44105</v>
      </c>
      <c r="AG4322" s="372">
        <v>44132</v>
      </c>
      <c r="AH4322" s="122">
        <v>3810.23</v>
      </c>
    </row>
    <row r="4323" spans="32:34">
      <c r="AF4323" s="367">
        <f t="shared" si="67"/>
        <v>44105</v>
      </c>
      <c r="AG4323" s="372">
        <v>44133</v>
      </c>
      <c r="AH4323" s="122">
        <v>3841.46</v>
      </c>
    </row>
    <row r="4324" spans="32:34">
      <c r="AF4324" s="367">
        <f t="shared" si="67"/>
        <v>44105</v>
      </c>
      <c r="AG4324" s="372">
        <v>44134</v>
      </c>
      <c r="AH4324" s="122">
        <v>3849.53</v>
      </c>
    </row>
    <row r="4325" spans="32:34">
      <c r="AF4325" s="367">
        <f t="shared" si="67"/>
        <v>44105</v>
      </c>
      <c r="AG4325" s="372">
        <v>44135</v>
      </c>
      <c r="AH4325" s="122">
        <v>3858.56</v>
      </c>
    </row>
    <row r="4326" spans="32:34">
      <c r="AF4326" s="367">
        <f t="shared" si="67"/>
        <v>44136</v>
      </c>
      <c r="AG4326" s="372">
        <v>44136</v>
      </c>
      <c r="AH4326" s="122">
        <v>3858.56</v>
      </c>
    </row>
    <row r="4327" spans="32:34">
      <c r="AF4327" s="367">
        <f t="shared" si="67"/>
        <v>44136</v>
      </c>
      <c r="AG4327" s="372">
        <v>44137</v>
      </c>
      <c r="AH4327" s="122">
        <v>3858.56</v>
      </c>
    </row>
    <row r="4328" spans="32:34">
      <c r="AF4328" s="367">
        <f t="shared" si="67"/>
        <v>44136</v>
      </c>
      <c r="AG4328" s="372">
        <v>44138</v>
      </c>
      <c r="AH4328" s="122">
        <v>3858.56</v>
      </c>
    </row>
    <row r="4329" spans="32:34">
      <c r="AF4329" s="367">
        <f t="shared" si="67"/>
        <v>44136</v>
      </c>
      <c r="AG4329" s="372">
        <v>44139</v>
      </c>
      <c r="AH4329" s="122">
        <v>3823.45</v>
      </c>
    </row>
    <row r="4330" spans="32:34">
      <c r="AF4330" s="367">
        <f t="shared" si="67"/>
        <v>44136</v>
      </c>
      <c r="AG4330" s="372">
        <v>44140</v>
      </c>
      <c r="AH4330" s="122">
        <v>3807.13</v>
      </c>
    </row>
    <row r="4331" spans="32:34">
      <c r="AF4331" s="367">
        <f t="shared" si="67"/>
        <v>44136</v>
      </c>
      <c r="AG4331" s="372">
        <v>44141</v>
      </c>
      <c r="AH4331" s="122">
        <v>3763.82</v>
      </c>
    </row>
    <row r="4332" spans="32:34">
      <c r="AF4332" s="367">
        <f t="shared" si="67"/>
        <v>44136</v>
      </c>
      <c r="AG4332" s="372">
        <v>44142</v>
      </c>
      <c r="AH4332" s="122">
        <v>3738.19</v>
      </c>
    </row>
    <row r="4333" spans="32:34">
      <c r="AF4333" s="367">
        <f t="shared" si="67"/>
        <v>44136</v>
      </c>
      <c r="AG4333" s="372">
        <v>44143</v>
      </c>
      <c r="AH4333" s="122">
        <v>3738.19</v>
      </c>
    </row>
    <row r="4334" spans="32:34">
      <c r="AF4334" s="367">
        <f t="shared" si="67"/>
        <v>44136</v>
      </c>
      <c r="AG4334" s="372">
        <v>44144</v>
      </c>
      <c r="AH4334" s="122">
        <v>3738.19</v>
      </c>
    </row>
    <row r="4335" spans="32:34">
      <c r="AF4335" s="367">
        <f t="shared" si="67"/>
        <v>44136</v>
      </c>
      <c r="AG4335" s="372">
        <v>44145</v>
      </c>
      <c r="AH4335" s="122">
        <v>3646.15</v>
      </c>
    </row>
    <row r="4336" spans="32:34">
      <c r="AF4336" s="367">
        <f t="shared" si="67"/>
        <v>44136</v>
      </c>
      <c r="AG4336" s="372">
        <v>44146</v>
      </c>
      <c r="AH4336" s="122">
        <v>3650.5</v>
      </c>
    </row>
    <row r="4337" spans="32:34">
      <c r="AF4337" s="367">
        <f t="shared" si="67"/>
        <v>44136</v>
      </c>
      <c r="AG4337" s="372">
        <v>44147</v>
      </c>
      <c r="AH4337" s="122">
        <v>3650.5</v>
      </c>
    </row>
    <row r="4338" spans="32:34">
      <c r="AF4338" s="367">
        <f t="shared" si="67"/>
        <v>44136</v>
      </c>
      <c r="AG4338" s="372">
        <v>44148</v>
      </c>
      <c r="AH4338" s="122">
        <v>3646.22</v>
      </c>
    </row>
    <row r="4339" spans="32:34">
      <c r="AF4339" s="367">
        <f t="shared" si="67"/>
        <v>44136</v>
      </c>
      <c r="AG4339" s="372">
        <v>44149</v>
      </c>
      <c r="AH4339" s="122">
        <v>3639.95</v>
      </c>
    </row>
    <row r="4340" spans="32:34">
      <c r="AF4340" s="367">
        <f t="shared" si="67"/>
        <v>44136</v>
      </c>
      <c r="AG4340" s="372">
        <v>44150</v>
      </c>
      <c r="AH4340" s="122">
        <v>3639.95</v>
      </c>
    </row>
    <row r="4341" spans="32:34">
      <c r="AF4341" s="367">
        <f t="shared" si="67"/>
        <v>44136</v>
      </c>
      <c r="AG4341" s="372">
        <v>44151</v>
      </c>
      <c r="AH4341" s="122">
        <v>3639.95</v>
      </c>
    </row>
    <row r="4342" spans="32:34">
      <c r="AF4342" s="367">
        <f t="shared" si="67"/>
        <v>44136</v>
      </c>
      <c r="AG4342" s="372">
        <v>44152</v>
      </c>
      <c r="AH4342" s="122">
        <v>3639.95</v>
      </c>
    </row>
    <row r="4343" spans="32:34">
      <c r="AF4343" s="367">
        <f t="shared" si="67"/>
        <v>44136</v>
      </c>
      <c r="AG4343" s="372">
        <v>44153</v>
      </c>
      <c r="AH4343" s="122">
        <v>3635.19</v>
      </c>
    </row>
    <row r="4344" spans="32:34">
      <c r="AF4344" s="367">
        <f t="shared" si="67"/>
        <v>44136</v>
      </c>
      <c r="AG4344" s="372">
        <v>44154</v>
      </c>
      <c r="AH4344" s="122">
        <v>3647.73</v>
      </c>
    </row>
    <row r="4345" spans="32:34">
      <c r="AF4345" s="367">
        <f t="shared" si="67"/>
        <v>44136</v>
      </c>
      <c r="AG4345" s="372">
        <v>44155</v>
      </c>
      <c r="AH4345" s="122">
        <v>3647.1</v>
      </c>
    </row>
    <row r="4346" spans="32:34">
      <c r="AF4346" s="367">
        <f t="shared" si="67"/>
        <v>44136</v>
      </c>
      <c r="AG4346" s="372">
        <v>44156</v>
      </c>
      <c r="AH4346" s="122">
        <v>3649.9</v>
      </c>
    </row>
    <row r="4347" spans="32:34">
      <c r="AF4347" s="367">
        <f t="shared" si="67"/>
        <v>44136</v>
      </c>
      <c r="AG4347" s="372">
        <v>44157</v>
      </c>
      <c r="AH4347" s="122">
        <v>3649.9</v>
      </c>
    </row>
    <row r="4348" spans="32:34">
      <c r="AF4348" s="367">
        <f t="shared" si="67"/>
        <v>44136</v>
      </c>
      <c r="AG4348" s="372">
        <v>44158</v>
      </c>
      <c r="AH4348" s="122">
        <v>3649.9</v>
      </c>
    </row>
    <row r="4349" spans="32:34">
      <c r="AF4349" s="367">
        <f t="shared" si="67"/>
        <v>44136</v>
      </c>
      <c r="AG4349" s="372">
        <v>44159</v>
      </c>
      <c r="AH4349" s="122">
        <v>3632.92</v>
      </c>
    </row>
    <row r="4350" spans="32:34">
      <c r="AF4350" s="367">
        <f t="shared" si="67"/>
        <v>44136</v>
      </c>
      <c r="AG4350" s="372">
        <v>44160</v>
      </c>
      <c r="AH4350" s="122">
        <v>3643.24</v>
      </c>
    </row>
    <row r="4351" spans="32:34">
      <c r="AF4351" s="367">
        <f t="shared" si="67"/>
        <v>44136</v>
      </c>
      <c r="AG4351" s="372">
        <v>44161</v>
      </c>
      <c r="AH4351" s="122">
        <v>3620.39</v>
      </c>
    </row>
    <row r="4352" spans="32:34">
      <c r="AF4352" s="367">
        <f t="shared" si="67"/>
        <v>44136</v>
      </c>
      <c r="AG4352" s="372">
        <v>44162</v>
      </c>
      <c r="AH4352" s="122">
        <v>3620.39</v>
      </c>
    </row>
    <row r="4353" spans="32:34">
      <c r="AF4353" s="367">
        <f t="shared" si="67"/>
        <v>44136</v>
      </c>
      <c r="AG4353" s="372">
        <v>44163</v>
      </c>
      <c r="AH4353" s="122">
        <v>3611.44</v>
      </c>
    </row>
    <row r="4354" spans="32:34">
      <c r="AF4354" s="367">
        <f t="shared" si="67"/>
        <v>44136</v>
      </c>
      <c r="AG4354" s="372">
        <v>44164</v>
      </c>
      <c r="AH4354" s="122">
        <v>3611.44</v>
      </c>
    </row>
    <row r="4355" spans="32:34">
      <c r="AF4355" s="367">
        <f t="shared" si="67"/>
        <v>44136</v>
      </c>
      <c r="AG4355" s="372">
        <v>44165</v>
      </c>
      <c r="AH4355" s="122">
        <v>3611.44</v>
      </c>
    </row>
    <row r="4356" spans="32:34">
      <c r="AF4356" s="367">
        <f t="shared" ref="AF4356:AF4419" si="68">+DATE(YEAR(AG4356),MONTH(AG4356),1)</f>
        <v>44166</v>
      </c>
      <c r="AG4356" s="372">
        <v>44166</v>
      </c>
      <c r="AH4356" s="122">
        <v>3591.84</v>
      </c>
    </row>
    <row r="4357" spans="32:34">
      <c r="AF4357" s="367">
        <f t="shared" si="68"/>
        <v>44166</v>
      </c>
      <c r="AG4357" s="372">
        <v>44167</v>
      </c>
      <c r="AH4357" s="122">
        <v>3558.57</v>
      </c>
    </row>
    <row r="4358" spans="32:34">
      <c r="AF4358" s="367">
        <f t="shared" si="68"/>
        <v>44166</v>
      </c>
      <c r="AG4358" s="372">
        <v>44168</v>
      </c>
      <c r="AH4358" s="122">
        <v>3533.21</v>
      </c>
    </row>
    <row r="4359" spans="32:34">
      <c r="AF4359" s="367">
        <f t="shared" si="68"/>
        <v>44166</v>
      </c>
      <c r="AG4359" s="372">
        <v>44169</v>
      </c>
      <c r="AH4359" s="122">
        <v>3481.44</v>
      </c>
    </row>
    <row r="4360" spans="32:34">
      <c r="AF4360" s="367">
        <f t="shared" si="68"/>
        <v>44166</v>
      </c>
      <c r="AG4360" s="372">
        <v>44170</v>
      </c>
      <c r="AH4360" s="122">
        <v>3467.49</v>
      </c>
    </row>
    <row r="4361" spans="32:34">
      <c r="AF4361" s="367">
        <f t="shared" si="68"/>
        <v>44166</v>
      </c>
      <c r="AG4361" s="372">
        <v>44171</v>
      </c>
      <c r="AH4361" s="122">
        <v>3467.49</v>
      </c>
    </row>
    <row r="4362" spans="32:34">
      <c r="AF4362" s="367">
        <f t="shared" si="68"/>
        <v>44166</v>
      </c>
      <c r="AG4362" s="372">
        <v>44172</v>
      </c>
      <c r="AH4362" s="122">
        <v>3467.49</v>
      </c>
    </row>
    <row r="4363" spans="32:34">
      <c r="AF4363" s="367">
        <f t="shared" si="68"/>
        <v>44166</v>
      </c>
      <c r="AG4363" s="372">
        <v>44173</v>
      </c>
      <c r="AH4363" s="122">
        <v>3487.65</v>
      </c>
    </row>
    <row r="4364" spans="32:34">
      <c r="AF4364" s="367">
        <f t="shared" si="68"/>
        <v>44166</v>
      </c>
      <c r="AG4364" s="372">
        <v>44174</v>
      </c>
      <c r="AH4364" s="122">
        <v>3487.65</v>
      </c>
    </row>
    <row r="4365" spans="32:34">
      <c r="AF4365" s="367">
        <f t="shared" si="68"/>
        <v>44166</v>
      </c>
      <c r="AG4365" s="372">
        <v>44175</v>
      </c>
      <c r="AH4365" s="122">
        <v>3465.76</v>
      </c>
    </row>
    <row r="4366" spans="32:34">
      <c r="AF4366" s="367">
        <f t="shared" si="68"/>
        <v>44166</v>
      </c>
      <c r="AG4366" s="372">
        <v>44176</v>
      </c>
      <c r="AH4366" s="122">
        <v>3448.89</v>
      </c>
    </row>
    <row r="4367" spans="32:34">
      <c r="AF4367" s="367">
        <f t="shared" si="68"/>
        <v>44166</v>
      </c>
      <c r="AG4367" s="372">
        <v>44177</v>
      </c>
      <c r="AH4367" s="122">
        <v>3433.45</v>
      </c>
    </row>
    <row r="4368" spans="32:34">
      <c r="AF4368" s="367">
        <f t="shared" si="68"/>
        <v>44166</v>
      </c>
      <c r="AG4368" s="372">
        <v>44178</v>
      </c>
      <c r="AH4368" s="122">
        <v>3433.45</v>
      </c>
    </row>
    <row r="4369" spans="32:34">
      <c r="AF4369" s="367">
        <f t="shared" si="68"/>
        <v>44166</v>
      </c>
      <c r="AG4369" s="372">
        <v>44179</v>
      </c>
      <c r="AH4369" s="122">
        <v>3433.45</v>
      </c>
    </row>
    <row r="4370" spans="32:34">
      <c r="AF4370" s="367">
        <f t="shared" si="68"/>
        <v>44166</v>
      </c>
      <c r="AG4370" s="372">
        <v>44180</v>
      </c>
      <c r="AH4370" s="122">
        <v>3426.97</v>
      </c>
    </row>
    <row r="4371" spans="32:34">
      <c r="AF4371" s="367">
        <f t="shared" si="68"/>
        <v>44166</v>
      </c>
      <c r="AG4371" s="372">
        <v>44181</v>
      </c>
      <c r="AH4371" s="122">
        <v>3422.44</v>
      </c>
    </row>
    <row r="4372" spans="32:34">
      <c r="AF4372" s="367">
        <f t="shared" si="68"/>
        <v>44166</v>
      </c>
      <c r="AG4372" s="372">
        <v>44182</v>
      </c>
      <c r="AH4372" s="122">
        <v>3416.21</v>
      </c>
    </row>
    <row r="4373" spans="32:34">
      <c r="AF4373" s="367">
        <f t="shared" si="68"/>
        <v>44166</v>
      </c>
      <c r="AG4373" s="372">
        <v>44183</v>
      </c>
      <c r="AH4373" s="122">
        <v>3410.82</v>
      </c>
    </row>
    <row r="4374" spans="32:34">
      <c r="AF4374" s="367">
        <f t="shared" si="68"/>
        <v>44166</v>
      </c>
      <c r="AG4374" s="372">
        <v>44184</v>
      </c>
      <c r="AH4374" s="122">
        <v>3420.26</v>
      </c>
    </row>
    <row r="4375" spans="32:34">
      <c r="AF4375" s="367">
        <f t="shared" si="68"/>
        <v>44166</v>
      </c>
      <c r="AG4375" s="372">
        <v>44185</v>
      </c>
      <c r="AH4375" s="122">
        <v>3420.26</v>
      </c>
    </row>
    <row r="4376" spans="32:34">
      <c r="AF4376" s="367">
        <f t="shared" si="68"/>
        <v>44166</v>
      </c>
      <c r="AG4376" s="372">
        <v>44186</v>
      </c>
      <c r="AH4376" s="122">
        <v>3420.26</v>
      </c>
    </row>
    <row r="4377" spans="32:34">
      <c r="AF4377" s="367">
        <f t="shared" si="68"/>
        <v>44166</v>
      </c>
      <c r="AG4377" s="372">
        <v>44187</v>
      </c>
      <c r="AH4377" s="122">
        <v>3442.41</v>
      </c>
    </row>
    <row r="4378" spans="32:34">
      <c r="AF4378" s="367">
        <f t="shared" si="68"/>
        <v>44166</v>
      </c>
      <c r="AG4378" s="372">
        <v>44188</v>
      </c>
      <c r="AH4378" s="122">
        <v>3444.9</v>
      </c>
    </row>
    <row r="4379" spans="32:34">
      <c r="AF4379" s="367">
        <f t="shared" si="68"/>
        <v>44166</v>
      </c>
      <c r="AG4379" s="372">
        <v>44189</v>
      </c>
      <c r="AH4379" s="122">
        <v>3482.51</v>
      </c>
    </row>
    <row r="4380" spans="32:34">
      <c r="AF4380" s="367">
        <f t="shared" si="68"/>
        <v>44166</v>
      </c>
      <c r="AG4380" s="372">
        <v>44190</v>
      </c>
      <c r="AH4380" s="122">
        <v>3493.77</v>
      </c>
    </row>
    <row r="4381" spans="32:34">
      <c r="AF4381" s="367">
        <f t="shared" si="68"/>
        <v>44166</v>
      </c>
      <c r="AG4381" s="372">
        <v>44191</v>
      </c>
      <c r="AH4381" s="122">
        <v>3493.77</v>
      </c>
    </row>
    <row r="4382" spans="32:34">
      <c r="AF4382" s="367">
        <f t="shared" si="68"/>
        <v>44166</v>
      </c>
      <c r="AG4382" s="372">
        <v>44192</v>
      </c>
      <c r="AH4382" s="122">
        <v>3493.77</v>
      </c>
    </row>
    <row r="4383" spans="32:34">
      <c r="AF4383" s="367">
        <f t="shared" si="68"/>
        <v>44166</v>
      </c>
      <c r="AG4383" s="372">
        <v>44193</v>
      </c>
      <c r="AH4383" s="122">
        <v>3493.77</v>
      </c>
    </row>
    <row r="4384" spans="32:34">
      <c r="AF4384" s="367">
        <f t="shared" si="68"/>
        <v>44166</v>
      </c>
      <c r="AG4384" s="372">
        <v>44194</v>
      </c>
      <c r="AH4384" s="122">
        <v>3495.39</v>
      </c>
    </row>
    <row r="4385" spans="32:34">
      <c r="AF4385" s="367">
        <f t="shared" si="68"/>
        <v>44166</v>
      </c>
      <c r="AG4385" s="372">
        <v>44195</v>
      </c>
      <c r="AH4385" s="122">
        <v>3482.1</v>
      </c>
    </row>
    <row r="4386" spans="32:34">
      <c r="AF4386" s="367">
        <f t="shared" si="68"/>
        <v>44166</v>
      </c>
      <c r="AG4386" s="372">
        <v>44196</v>
      </c>
      <c r="AH4386" s="122">
        <v>3432.5</v>
      </c>
    </row>
    <row r="4387" spans="32:34">
      <c r="AF4387" s="367">
        <f t="shared" si="68"/>
        <v>44197</v>
      </c>
      <c r="AG4387" s="372">
        <v>44197</v>
      </c>
      <c r="AH4387">
        <v>3432.5</v>
      </c>
    </row>
    <row r="4388" spans="32:34">
      <c r="AF4388" s="367">
        <f t="shared" si="68"/>
        <v>44197</v>
      </c>
      <c r="AG4388" s="372">
        <v>44198</v>
      </c>
      <c r="AH4388">
        <v>3432.5</v>
      </c>
    </row>
    <row r="4389" spans="32:34">
      <c r="AF4389" s="367">
        <f t="shared" si="68"/>
        <v>44197</v>
      </c>
      <c r="AG4389" s="372">
        <v>44199</v>
      </c>
      <c r="AH4389">
        <v>3432.5</v>
      </c>
    </row>
    <row r="4390" spans="32:34">
      <c r="AF4390" s="367">
        <f t="shared" si="68"/>
        <v>44197</v>
      </c>
      <c r="AG4390" s="372">
        <v>44200</v>
      </c>
      <c r="AH4390">
        <v>3432.5</v>
      </c>
    </row>
    <row r="4391" spans="32:34">
      <c r="AF4391" s="367">
        <f t="shared" si="68"/>
        <v>44197</v>
      </c>
      <c r="AG4391" s="372">
        <v>44201</v>
      </c>
      <c r="AH4391">
        <v>3420.78</v>
      </c>
    </row>
    <row r="4392" spans="32:34">
      <c r="AF4392" s="367">
        <f t="shared" si="68"/>
        <v>44197</v>
      </c>
      <c r="AG4392" s="372">
        <v>44202</v>
      </c>
      <c r="AH4392">
        <v>3450.74</v>
      </c>
    </row>
    <row r="4393" spans="32:34">
      <c r="AF4393" s="367">
        <f t="shared" si="68"/>
        <v>44197</v>
      </c>
      <c r="AG4393" s="372">
        <v>44203</v>
      </c>
      <c r="AH4393">
        <v>3428.04</v>
      </c>
    </row>
    <row r="4394" spans="32:34">
      <c r="AF4394" s="367">
        <f t="shared" si="68"/>
        <v>44197</v>
      </c>
      <c r="AG4394" s="372">
        <v>44204</v>
      </c>
      <c r="AH4394">
        <v>3459.39</v>
      </c>
    </row>
    <row r="4395" spans="32:34">
      <c r="AF4395" s="367">
        <f t="shared" si="68"/>
        <v>44197</v>
      </c>
      <c r="AG4395" s="372">
        <v>44205</v>
      </c>
      <c r="AH4395">
        <v>3478.11</v>
      </c>
    </row>
    <row r="4396" spans="32:34">
      <c r="AF4396" s="367">
        <f t="shared" si="68"/>
        <v>44197</v>
      </c>
      <c r="AG4396" s="372">
        <v>44206</v>
      </c>
      <c r="AH4396">
        <v>3478.11</v>
      </c>
    </row>
    <row r="4397" spans="32:34">
      <c r="AF4397" s="367">
        <f t="shared" si="68"/>
        <v>44197</v>
      </c>
      <c r="AG4397" s="372">
        <v>44207</v>
      </c>
      <c r="AH4397">
        <v>3478.11</v>
      </c>
    </row>
    <row r="4398" spans="32:34">
      <c r="AF4398" s="367">
        <f t="shared" si="68"/>
        <v>44197</v>
      </c>
      <c r="AG4398" s="372">
        <v>44208</v>
      </c>
      <c r="AH4398">
        <v>3478.11</v>
      </c>
    </row>
    <row r="4399" spans="32:34">
      <c r="AF4399" s="367">
        <f t="shared" si="68"/>
        <v>44197</v>
      </c>
      <c r="AG4399" s="372">
        <v>44209</v>
      </c>
      <c r="AH4399">
        <v>3487.65</v>
      </c>
    </row>
    <row r="4400" spans="32:34">
      <c r="AF4400" s="367">
        <f t="shared" si="68"/>
        <v>44197</v>
      </c>
      <c r="AG4400" s="372">
        <v>44210</v>
      </c>
      <c r="AH4400">
        <v>3478.36</v>
      </c>
    </row>
    <row r="4401" spans="32:34">
      <c r="AF4401" s="367">
        <f t="shared" si="68"/>
        <v>44197</v>
      </c>
      <c r="AG4401" s="372">
        <v>44211</v>
      </c>
      <c r="AH4401">
        <v>3469.76</v>
      </c>
    </row>
    <row r="4402" spans="32:34">
      <c r="AF4402" s="367">
        <f t="shared" si="68"/>
        <v>44197</v>
      </c>
      <c r="AG4402" s="372">
        <v>44212</v>
      </c>
      <c r="AH4402">
        <v>3466.8</v>
      </c>
    </row>
    <row r="4403" spans="32:34">
      <c r="AF4403" s="367">
        <f t="shared" si="68"/>
        <v>44197</v>
      </c>
      <c r="AG4403" s="372">
        <v>44213</v>
      </c>
      <c r="AH4403">
        <v>3466.8</v>
      </c>
    </row>
    <row r="4404" spans="32:34">
      <c r="AF4404" s="367">
        <f t="shared" si="68"/>
        <v>44197</v>
      </c>
      <c r="AG4404" s="372">
        <v>44214</v>
      </c>
      <c r="AH4404">
        <v>3466.8</v>
      </c>
    </row>
    <row r="4405" spans="32:34">
      <c r="AF4405" s="367">
        <f t="shared" si="68"/>
        <v>44197</v>
      </c>
      <c r="AG4405" s="372">
        <v>44215</v>
      </c>
      <c r="AH4405">
        <v>3466.8</v>
      </c>
    </row>
    <row r="4406" spans="32:34">
      <c r="AF4406" s="367">
        <f t="shared" si="68"/>
        <v>44197</v>
      </c>
      <c r="AG4406" s="372">
        <v>44216</v>
      </c>
      <c r="AH4406">
        <v>3482.03</v>
      </c>
    </row>
    <row r="4407" spans="32:34">
      <c r="AF4407" s="367">
        <f t="shared" si="68"/>
        <v>44197</v>
      </c>
      <c r="AG4407" s="372">
        <v>44217</v>
      </c>
      <c r="AH4407">
        <v>3476.19</v>
      </c>
    </row>
    <row r="4408" spans="32:34">
      <c r="AF4408" s="367">
        <f t="shared" si="68"/>
        <v>44197</v>
      </c>
      <c r="AG4408" s="372">
        <v>44218</v>
      </c>
      <c r="AH4408">
        <v>3477.48</v>
      </c>
    </row>
    <row r="4409" spans="32:34">
      <c r="AF4409" s="367">
        <f t="shared" si="68"/>
        <v>44197</v>
      </c>
      <c r="AG4409" s="372">
        <v>44219</v>
      </c>
      <c r="AH4409">
        <v>3525.25</v>
      </c>
    </row>
    <row r="4410" spans="32:34">
      <c r="AF4410" s="367">
        <f t="shared" si="68"/>
        <v>44197</v>
      </c>
      <c r="AG4410" s="372">
        <v>44220</v>
      </c>
      <c r="AH4410">
        <v>3525.25</v>
      </c>
    </row>
    <row r="4411" spans="32:34">
      <c r="AF4411" s="367">
        <f t="shared" si="68"/>
        <v>44197</v>
      </c>
      <c r="AG4411" s="372">
        <v>44221</v>
      </c>
      <c r="AH4411">
        <v>3525.25</v>
      </c>
    </row>
    <row r="4412" spans="32:34">
      <c r="AF4412" s="367">
        <f t="shared" si="68"/>
        <v>44197</v>
      </c>
      <c r="AG4412" s="372">
        <v>44222</v>
      </c>
      <c r="AH4412">
        <v>3582.41</v>
      </c>
    </row>
    <row r="4413" spans="32:34">
      <c r="AF4413" s="367">
        <f t="shared" si="68"/>
        <v>44197</v>
      </c>
      <c r="AG4413" s="372">
        <v>44223</v>
      </c>
      <c r="AH4413">
        <v>3591.48</v>
      </c>
    </row>
    <row r="4414" spans="32:34">
      <c r="AF4414" s="367">
        <f t="shared" si="68"/>
        <v>44197</v>
      </c>
      <c r="AG4414" s="372">
        <v>44224</v>
      </c>
      <c r="AH4414">
        <v>3636.91</v>
      </c>
    </row>
    <row r="4415" spans="32:34">
      <c r="AF4415" s="367">
        <f t="shared" si="68"/>
        <v>44197</v>
      </c>
      <c r="AG4415" s="372">
        <v>44225</v>
      </c>
      <c r="AH4415">
        <v>3585.44</v>
      </c>
    </row>
    <row r="4416" spans="32:34">
      <c r="AF4416" s="367">
        <f t="shared" si="68"/>
        <v>44197</v>
      </c>
      <c r="AG4416" s="372">
        <v>44226</v>
      </c>
      <c r="AH4416">
        <v>3559.46</v>
      </c>
    </row>
    <row r="4417" spans="32:34">
      <c r="AF4417" s="367">
        <f t="shared" si="68"/>
        <v>44197</v>
      </c>
      <c r="AG4417" s="372">
        <v>44227</v>
      </c>
      <c r="AH4417">
        <v>3559.46</v>
      </c>
    </row>
    <row r="4418" spans="32:34">
      <c r="AF4418" s="367">
        <f t="shared" si="68"/>
        <v>44228</v>
      </c>
      <c r="AG4418" s="372">
        <v>44228</v>
      </c>
      <c r="AH4418">
        <v>3559.46</v>
      </c>
    </row>
    <row r="4419" spans="32:34">
      <c r="AF4419" s="367">
        <f t="shared" si="68"/>
        <v>44228</v>
      </c>
      <c r="AG4419" s="372">
        <v>44229</v>
      </c>
      <c r="AH4419">
        <v>3561.37</v>
      </c>
    </row>
    <row r="4420" spans="32:34">
      <c r="AF4420" s="367">
        <f t="shared" ref="AF4420:AF4483" si="69">+DATE(YEAR(AG4420),MONTH(AG4420),1)</f>
        <v>44228</v>
      </c>
      <c r="AG4420" s="372">
        <v>44230</v>
      </c>
      <c r="AH4420">
        <v>3534.99</v>
      </c>
    </row>
    <row r="4421" spans="32:34">
      <c r="AF4421" s="367">
        <f t="shared" si="69"/>
        <v>44228</v>
      </c>
      <c r="AG4421" s="372">
        <v>44231</v>
      </c>
      <c r="AH4421">
        <v>3522.57</v>
      </c>
    </row>
    <row r="4422" spans="32:34">
      <c r="AF4422" s="367">
        <f t="shared" si="69"/>
        <v>44228</v>
      </c>
      <c r="AG4422" s="372">
        <v>44232</v>
      </c>
      <c r="AH4422">
        <v>3558.63</v>
      </c>
    </row>
    <row r="4423" spans="32:34">
      <c r="AF4423" s="367">
        <f t="shared" si="69"/>
        <v>44228</v>
      </c>
      <c r="AG4423" s="372">
        <v>44233</v>
      </c>
      <c r="AH4423">
        <v>3543.28</v>
      </c>
    </row>
    <row r="4424" spans="32:34">
      <c r="AF4424" s="367">
        <f t="shared" si="69"/>
        <v>44228</v>
      </c>
      <c r="AG4424" s="372">
        <v>44234</v>
      </c>
      <c r="AH4424">
        <v>3543.28</v>
      </c>
    </row>
    <row r="4425" spans="32:34">
      <c r="AF4425" s="367">
        <f t="shared" si="69"/>
        <v>44228</v>
      </c>
      <c r="AG4425" s="372">
        <v>44235</v>
      </c>
      <c r="AH4425">
        <v>3543.28</v>
      </c>
    </row>
    <row r="4426" spans="32:34">
      <c r="AF4426" s="367">
        <f t="shared" si="69"/>
        <v>44228</v>
      </c>
      <c r="AG4426" s="372">
        <v>44236</v>
      </c>
      <c r="AH4426">
        <v>3554.65</v>
      </c>
    </row>
    <row r="4427" spans="32:34">
      <c r="AF4427" s="367">
        <f t="shared" si="69"/>
        <v>44228</v>
      </c>
      <c r="AG4427" s="372">
        <v>44237</v>
      </c>
      <c r="AH4427">
        <v>3583.23</v>
      </c>
    </row>
    <row r="4428" spans="32:34">
      <c r="AF4428" s="367">
        <f t="shared" si="69"/>
        <v>44228</v>
      </c>
      <c r="AG4428" s="372">
        <v>44238</v>
      </c>
      <c r="AH4428">
        <v>3557.16</v>
      </c>
    </row>
    <row r="4429" spans="32:34">
      <c r="AF4429" s="367">
        <f t="shared" si="69"/>
        <v>44228</v>
      </c>
      <c r="AG4429" s="372">
        <v>44239</v>
      </c>
      <c r="AH4429">
        <v>3525.45</v>
      </c>
    </row>
    <row r="4430" spans="32:34">
      <c r="AF4430" s="367">
        <f t="shared" si="69"/>
        <v>44228</v>
      </c>
      <c r="AG4430" s="372">
        <v>44240</v>
      </c>
      <c r="AH4430">
        <v>3515.65</v>
      </c>
    </row>
    <row r="4431" spans="32:34">
      <c r="AF4431" s="367">
        <f t="shared" si="69"/>
        <v>44228</v>
      </c>
      <c r="AG4431" s="372">
        <v>44241</v>
      </c>
      <c r="AH4431">
        <v>3515.65</v>
      </c>
    </row>
    <row r="4432" spans="32:34">
      <c r="AF4432" s="367">
        <f t="shared" si="69"/>
        <v>44228</v>
      </c>
      <c r="AG4432" s="372">
        <v>44242</v>
      </c>
      <c r="AH4432">
        <v>3515.65</v>
      </c>
    </row>
    <row r="4433" spans="32:34">
      <c r="AF4433" s="367">
        <f t="shared" si="69"/>
        <v>44228</v>
      </c>
      <c r="AG4433" s="372">
        <v>44243</v>
      </c>
      <c r="AH4433">
        <v>3515.65</v>
      </c>
    </row>
    <row r="4434" spans="32:34">
      <c r="AF4434" s="367">
        <f t="shared" si="69"/>
        <v>44228</v>
      </c>
      <c r="AG4434" s="372">
        <v>44244</v>
      </c>
      <c r="AH4434">
        <v>3518.19</v>
      </c>
    </row>
    <row r="4435" spans="32:34">
      <c r="AF4435" s="367">
        <f t="shared" si="69"/>
        <v>44228</v>
      </c>
      <c r="AG4435" s="372">
        <v>44245</v>
      </c>
      <c r="AH4435">
        <v>3545.84</v>
      </c>
    </row>
    <row r="4436" spans="32:34">
      <c r="AF4436" s="367">
        <f t="shared" si="69"/>
        <v>44228</v>
      </c>
      <c r="AG4436" s="372">
        <v>44246</v>
      </c>
      <c r="AH4436">
        <v>3537.86</v>
      </c>
    </row>
    <row r="4437" spans="32:34">
      <c r="AF4437" s="367">
        <f t="shared" si="69"/>
        <v>44228</v>
      </c>
      <c r="AG4437" s="372">
        <v>44247</v>
      </c>
      <c r="AH4437">
        <v>3555.4</v>
      </c>
    </row>
    <row r="4438" spans="32:34">
      <c r="AF4438" s="367">
        <f t="shared" si="69"/>
        <v>44228</v>
      </c>
      <c r="AG4438" s="372">
        <v>44248</v>
      </c>
      <c r="AH4438">
        <v>3555.4</v>
      </c>
    </row>
    <row r="4439" spans="32:34">
      <c r="AF4439" s="367">
        <f t="shared" si="69"/>
        <v>44228</v>
      </c>
      <c r="AG4439" s="372">
        <v>44249</v>
      </c>
      <c r="AH4439">
        <v>3555.4</v>
      </c>
    </row>
    <row r="4440" spans="32:34">
      <c r="AF4440" s="367">
        <f t="shared" si="69"/>
        <v>44228</v>
      </c>
      <c r="AG4440" s="372">
        <v>44250</v>
      </c>
      <c r="AH4440">
        <v>3602.41</v>
      </c>
    </row>
    <row r="4441" spans="32:34">
      <c r="AF4441" s="367">
        <f t="shared" si="69"/>
        <v>44228</v>
      </c>
      <c r="AG4441" s="372">
        <v>44251</v>
      </c>
      <c r="AH4441">
        <v>3590.37</v>
      </c>
    </row>
    <row r="4442" spans="32:34">
      <c r="AF4442" s="367">
        <f t="shared" si="69"/>
        <v>44228</v>
      </c>
      <c r="AG4442" s="372">
        <v>44252</v>
      </c>
      <c r="AH4442">
        <v>3578.29</v>
      </c>
    </row>
    <row r="4443" spans="32:34">
      <c r="AF4443" s="367">
        <f t="shared" si="69"/>
        <v>44228</v>
      </c>
      <c r="AG4443" s="372">
        <v>44253</v>
      </c>
      <c r="AH4443">
        <v>3588.23</v>
      </c>
    </row>
    <row r="4444" spans="32:34">
      <c r="AF4444" s="367">
        <f t="shared" si="69"/>
        <v>44228</v>
      </c>
      <c r="AG4444" s="372">
        <v>44254</v>
      </c>
      <c r="AH4444">
        <v>3624.39</v>
      </c>
    </row>
    <row r="4445" spans="32:34">
      <c r="AF4445" s="367">
        <f t="shared" si="69"/>
        <v>44228</v>
      </c>
      <c r="AG4445" s="372">
        <v>44255</v>
      </c>
      <c r="AH4445">
        <v>3624.39</v>
      </c>
    </row>
    <row r="4446" spans="32:34">
      <c r="AF4446" s="367">
        <f t="shared" si="69"/>
        <v>44256</v>
      </c>
      <c r="AG4446" s="372">
        <v>44256</v>
      </c>
      <c r="AH4446">
        <v>3624.39</v>
      </c>
    </row>
    <row r="4447" spans="32:34">
      <c r="AF4447" s="367">
        <f t="shared" si="69"/>
        <v>44256</v>
      </c>
      <c r="AG4447" s="372">
        <v>44257</v>
      </c>
      <c r="AH4447">
        <v>3622.36</v>
      </c>
    </row>
    <row r="4448" spans="32:34">
      <c r="AF4448" s="367">
        <f t="shared" si="69"/>
        <v>44256</v>
      </c>
      <c r="AG4448" s="372">
        <v>44258</v>
      </c>
      <c r="AH4448">
        <v>3646.61</v>
      </c>
    </row>
    <row r="4449" spans="32:34">
      <c r="AF4449" s="367">
        <f t="shared" si="69"/>
        <v>44256</v>
      </c>
      <c r="AG4449" s="372">
        <v>44259</v>
      </c>
      <c r="AH4449">
        <v>3676.94</v>
      </c>
    </row>
    <row r="4450" spans="32:34">
      <c r="AF4450" s="367">
        <f t="shared" si="69"/>
        <v>44256</v>
      </c>
      <c r="AG4450" s="372">
        <v>44260</v>
      </c>
      <c r="AH4450">
        <v>3647.99</v>
      </c>
    </row>
    <row r="4451" spans="32:34">
      <c r="AF4451" s="367">
        <f t="shared" si="69"/>
        <v>44256</v>
      </c>
      <c r="AG4451" s="372">
        <v>44261</v>
      </c>
      <c r="AH4451">
        <v>3640.2</v>
      </c>
    </row>
    <row r="4452" spans="32:34">
      <c r="AF4452" s="367">
        <f t="shared" si="69"/>
        <v>44256</v>
      </c>
      <c r="AG4452" s="372">
        <v>44262</v>
      </c>
      <c r="AH4452">
        <v>3640.2</v>
      </c>
    </row>
    <row r="4453" spans="32:34">
      <c r="AF4453" s="367">
        <f t="shared" si="69"/>
        <v>44256</v>
      </c>
      <c r="AG4453" s="372">
        <v>44263</v>
      </c>
      <c r="AH4453">
        <v>3640.2</v>
      </c>
    </row>
    <row r="4454" spans="32:34">
      <c r="AF4454" s="367">
        <f t="shared" si="69"/>
        <v>44256</v>
      </c>
      <c r="AG4454" s="372">
        <v>44264</v>
      </c>
      <c r="AH4454">
        <v>3623.61</v>
      </c>
    </row>
    <row r="4455" spans="32:34">
      <c r="AF4455" s="367">
        <f t="shared" si="69"/>
        <v>44256</v>
      </c>
      <c r="AG4455" s="372">
        <v>44265</v>
      </c>
      <c r="AH4455">
        <v>3598.77</v>
      </c>
    </row>
    <row r="4456" spans="32:34">
      <c r="AF4456" s="367">
        <f t="shared" si="69"/>
        <v>44256</v>
      </c>
      <c r="AG4456" s="372">
        <v>44266</v>
      </c>
      <c r="AH4456">
        <v>3561.91</v>
      </c>
    </row>
    <row r="4457" spans="32:34">
      <c r="AF4457" s="367">
        <f t="shared" si="69"/>
        <v>44256</v>
      </c>
      <c r="AG4457" s="372">
        <v>44267</v>
      </c>
      <c r="AH4457">
        <v>3534.62</v>
      </c>
    </row>
    <row r="4458" spans="32:34">
      <c r="AF4458" s="367">
        <f t="shared" si="69"/>
        <v>44256</v>
      </c>
      <c r="AG4458" s="372">
        <v>44268</v>
      </c>
      <c r="AH4458">
        <v>3575.3</v>
      </c>
    </row>
    <row r="4459" spans="32:34">
      <c r="AF4459" s="367">
        <f t="shared" si="69"/>
        <v>44256</v>
      </c>
      <c r="AG4459" s="372">
        <v>44269</v>
      </c>
      <c r="AH4459">
        <v>3575.3</v>
      </c>
    </row>
    <row r="4460" spans="32:34">
      <c r="AF4460" s="367">
        <f t="shared" si="69"/>
        <v>44256</v>
      </c>
      <c r="AG4460" s="372">
        <v>44270</v>
      </c>
      <c r="AH4460">
        <v>3575.3</v>
      </c>
    </row>
    <row r="4461" spans="32:34">
      <c r="AF4461" s="367">
        <f t="shared" si="69"/>
        <v>44256</v>
      </c>
      <c r="AG4461" s="372">
        <v>44271</v>
      </c>
      <c r="AH4461">
        <v>3575.63</v>
      </c>
    </row>
    <row r="4462" spans="32:34">
      <c r="AF4462" s="367">
        <f t="shared" si="69"/>
        <v>44256</v>
      </c>
      <c r="AG4462" s="372">
        <v>44272</v>
      </c>
      <c r="AH4462">
        <v>3553.51</v>
      </c>
    </row>
    <row r="4463" spans="32:34">
      <c r="AF4463" s="367">
        <f t="shared" si="69"/>
        <v>44256</v>
      </c>
      <c r="AG4463" s="372">
        <v>44273</v>
      </c>
      <c r="AH4463">
        <v>3578.02</v>
      </c>
    </row>
    <row r="4464" spans="32:34">
      <c r="AF4464" s="367">
        <f t="shared" si="69"/>
        <v>44256</v>
      </c>
      <c r="AG4464" s="372">
        <v>44274</v>
      </c>
      <c r="AH4464">
        <v>3569.45</v>
      </c>
    </row>
    <row r="4465" spans="32:34">
      <c r="AF4465" s="367">
        <f t="shared" si="69"/>
        <v>44256</v>
      </c>
      <c r="AG4465" s="372">
        <v>44275</v>
      </c>
      <c r="AH4465">
        <v>3553.34</v>
      </c>
    </row>
    <row r="4466" spans="32:34">
      <c r="AF4466" s="367">
        <f t="shared" si="69"/>
        <v>44256</v>
      </c>
      <c r="AG4466" s="372">
        <v>44276</v>
      </c>
      <c r="AH4466">
        <v>3553.34</v>
      </c>
    </row>
    <row r="4467" spans="32:34">
      <c r="AF4467" s="367">
        <f t="shared" si="69"/>
        <v>44256</v>
      </c>
      <c r="AG4467" s="372">
        <v>44277</v>
      </c>
      <c r="AH4467">
        <v>3553.34</v>
      </c>
    </row>
    <row r="4468" spans="32:34">
      <c r="AF4468" s="367">
        <f t="shared" si="69"/>
        <v>44256</v>
      </c>
      <c r="AG4468" s="372">
        <v>44278</v>
      </c>
      <c r="AH4468">
        <v>3553.34</v>
      </c>
    </row>
    <row r="4469" spans="32:34">
      <c r="AF4469" s="367">
        <f t="shared" si="69"/>
        <v>44256</v>
      </c>
      <c r="AG4469" s="372">
        <v>44279</v>
      </c>
      <c r="AH4469">
        <v>3589.82</v>
      </c>
    </row>
    <row r="4470" spans="32:34">
      <c r="AF4470" s="367">
        <f t="shared" si="69"/>
        <v>44256</v>
      </c>
      <c r="AG4470" s="372">
        <v>44280</v>
      </c>
      <c r="AH4470">
        <v>3635.12</v>
      </c>
    </row>
    <row r="4471" spans="32:34">
      <c r="AF4471" s="367">
        <f t="shared" si="69"/>
        <v>44256</v>
      </c>
      <c r="AG4471" s="372">
        <v>44281</v>
      </c>
      <c r="AH4471">
        <v>3658.22</v>
      </c>
    </row>
    <row r="4472" spans="32:34">
      <c r="AF4472" s="367">
        <f t="shared" si="69"/>
        <v>44256</v>
      </c>
      <c r="AG4472" s="372">
        <v>44282</v>
      </c>
      <c r="AH4472">
        <v>3665.41</v>
      </c>
    </row>
    <row r="4473" spans="32:34">
      <c r="AF4473" s="367">
        <f t="shared" si="69"/>
        <v>44256</v>
      </c>
      <c r="AG4473" s="372">
        <v>44283</v>
      </c>
      <c r="AH4473">
        <v>3665.41</v>
      </c>
    </row>
    <row r="4474" spans="32:34">
      <c r="AF4474" s="367">
        <f t="shared" si="69"/>
        <v>44256</v>
      </c>
      <c r="AG4474" s="372">
        <v>44284</v>
      </c>
      <c r="AH4474">
        <v>3665.41</v>
      </c>
    </row>
    <row r="4475" spans="32:34">
      <c r="AF4475" s="367">
        <f t="shared" si="69"/>
        <v>44256</v>
      </c>
      <c r="AG4475" s="372">
        <v>44285</v>
      </c>
      <c r="AH4475">
        <v>3705.85</v>
      </c>
    </row>
    <row r="4476" spans="32:34">
      <c r="AF4476" s="367">
        <f t="shared" si="69"/>
        <v>44256</v>
      </c>
      <c r="AG4476" s="372">
        <v>44286</v>
      </c>
      <c r="AH4476">
        <v>3736.91</v>
      </c>
    </row>
    <row r="4477" spans="32:34">
      <c r="AF4477" s="367">
        <f t="shared" si="69"/>
        <v>44287</v>
      </c>
      <c r="AG4477" s="372">
        <v>44287</v>
      </c>
      <c r="AH4477">
        <v>3678.62</v>
      </c>
    </row>
    <row r="4478" spans="32:34">
      <c r="AF4478" s="367">
        <f t="shared" si="69"/>
        <v>44287</v>
      </c>
      <c r="AG4478" s="372">
        <v>44288</v>
      </c>
      <c r="AH4478">
        <v>3678.62</v>
      </c>
    </row>
    <row r="4479" spans="32:34">
      <c r="AF4479" s="367">
        <f t="shared" si="69"/>
        <v>44287</v>
      </c>
      <c r="AG4479" s="372">
        <v>44289</v>
      </c>
      <c r="AH4479">
        <v>3678.62</v>
      </c>
    </row>
    <row r="4480" spans="32:34">
      <c r="AF4480" s="367">
        <f t="shared" si="69"/>
        <v>44287</v>
      </c>
      <c r="AG4480" s="372">
        <v>44290</v>
      </c>
      <c r="AH4480">
        <v>3678.62</v>
      </c>
    </row>
    <row r="4481" spans="32:34">
      <c r="AF4481" s="367">
        <f t="shared" si="69"/>
        <v>44287</v>
      </c>
      <c r="AG4481" s="372">
        <v>44291</v>
      </c>
      <c r="AH4481">
        <v>3678.62</v>
      </c>
    </row>
    <row r="4482" spans="32:34">
      <c r="AF4482" s="367">
        <f t="shared" si="69"/>
        <v>44287</v>
      </c>
      <c r="AG4482" s="372">
        <v>44292</v>
      </c>
      <c r="AH4482">
        <v>3645.79</v>
      </c>
    </row>
    <row r="4483" spans="32:34">
      <c r="AF4483" s="367">
        <f t="shared" si="69"/>
        <v>44287</v>
      </c>
      <c r="AG4483" s="372">
        <v>44293</v>
      </c>
      <c r="AH4483">
        <v>3645.14</v>
      </c>
    </row>
    <row r="4484" spans="32:34">
      <c r="AF4484" s="367">
        <f t="shared" ref="AF4484:AF4547" si="70">+DATE(YEAR(AG4484),MONTH(AG4484),1)</f>
        <v>44287</v>
      </c>
      <c r="AG4484" s="372">
        <v>44294</v>
      </c>
      <c r="AH4484">
        <v>3639.62</v>
      </c>
    </row>
    <row r="4485" spans="32:34">
      <c r="AF4485" s="367">
        <f t="shared" si="70"/>
        <v>44287</v>
      </c>
      <c r="AG4485" s="372">
        <v>44295</v>
      </c>
      <c r="AH4485">
        <v>3634.07</v>
      </c>
    </row>
    <row r="4486" spans="32:34">
      <c r="AF4486" s="367">
        <f t="shared" si="70"/>
        <v>44287</v>
      </c>
      <c r="AG4486" s="372">
        <v>44296</v>
      </c>
      <c r="AH4486">
        <v>3650.23</v>
      </c>
    </row>
    <row r="4487" spans="32:34">
      <c r="AF4487" s="367">
        <f t="shared" si="70"/>
        <v>44287</v>
      </c>
      <c r="AG4487" s="372">
        <v>44297</v>
      </c>
      <c r="AH4487">
        <v>3650.23</v>
      </c>
    </row>
    <row r="4488" spans="32:34">
      <c r="AF4488" s="367">
        <f t="shared" si="70"/>
        <v>44287</v>
      </c>
      <c r="AG4488" s="372">
        <v>44298</v>
      </c>
      <c r="AH4488">
        <v>3650.23</v>
      </c>
    </row>
    <row r="4489" spans="32:34">
      <c r="AF4489" s="367">
        <f t="shared" si="70"/>
        <v>44287</v>
      </c>
      <c r="AG4489" s="372">
        <v>44299</v>
      </c>
      <c r="AH4489">
        <v>3653.57</v>
      </c>
    </row>
    <row r="4490" spans="32:34">
      <c r="AF4490" s="367">
        <f t="shared" si="70"/>
        <v>44287</v>
      </c>
      <c r="AG4490" s="372">
        <v>44300</v>
      </c>
      <c r="AH4490">
        <v>3666.17</v>
      </c>
    </row>
    <row r="4491" spans="32:34">
      <c r="AF4491" s="367">
        <f t="shared" si="70"/>
        <v>44287</v>
      </c>
      <c r="AG4491" s="372">
        <v>44301</v>
      </c>
      <c r="AH4491">
        <v>3665.49</v>
      </c>
    </row>
    <row r="4492" spans="32:34">
      <c r="AF4492" s="367">
        <f t="shared" si="70"/>
        <v>44287</v>
      </c>
      <c r="AG4492" s="372">
        <v>44302</v>
      </c>
      <c r="AH4492">
        <v>3620.4</v>
      </c>
    </row>
    <row r="4493" spans="32:34">
      <c r="AF4493" s="367">
        <f t="shared" si="70"/>
        <v>44287</v>
      </c>
      <c r="AG4493" s="372">
        <v>44303</v>
      </c>
      <c r="AH4493">
        <v>3595.57</v>
      </c>
    </row>
    <row r="4494" spans="32:34">
      <c r="AF4494" s="367">
        <f t="shared" si="70"/>
        <v>44287</v>
      </c>
      <c r="AG4494" s="372">
        <v>44304</v>
      </c>
      <c r="AH4494">
        <v>3595.57</v>
      </c>
    </row>
    <row r="4495" spans="32:34">
      <c r="AF4495" s="367">
        <f t="shared" si="70"/>
        <v>44287</v>
      </c>
      <c r="AG4495" s="372">
        <v>44305</v>
      </c>
      <c r="AH4495">
        <v>3595.57</v>
      </c>
    </row>
    <row r="4496" spans="32:34">
      <c r="AF4496" s="367">
        <f t="shared" si="70"/>
        <v>44287</v>
      </c>
      <c r="AG4496" s="372">
        <v>44306</v>
      </c>
      <c r="AH4496">
        <v>3606.42</v>
      </c>
    </row>
    <row r="4497" spans="32:34">
      <c r="AF4497" s="367">
        <f t="shared" si="70"/>
        <v>44287</v>
      </c>
      <c r="AG4497" s="372">
        <v>44307</v>
      </c>
      <c r="AH4497">
        <v>3636.26</v>
      </c>
    </row>
    <row r="4498" spans="32:34">
      <c r="AF4498" s="367">
        <f t="shared" si="70"/>
        <v>44287</v>
      </c>
      <c r="AG4498" s="372">
        <v>44308</v>
      </c>
      <c r="AH4498">
        <v>3639.12</v>
      </c>
    </row>
    <row r="4499" spans="32:34">
      <c r="AF4499" s="367">
        <f t="shared" si="70"/>
        <v>44287</v>
      </c>
      <c r="AG4499" s="372">
        <v>44309</v>
      </c>
      <c r="AH4499">
        <v>3630.8119056330602</v>
      </c>
    </row>
    <row r="4500" spans="32:34">
      <c r="AF4500" s="367">
        <f t="shared" si="70"/>
        <v>44287</v>
      </c>
      <c r="AG4500" s="372">
        <v>44310</v>
      </c>
      <c r="AH4500">
        <v>3640.07</v>
      </c>
    </row>
    <row r="4501" spans="32:34">
      <c r="AF4501" s="367">
        <f t="shared" si="70"/>
        <v>44287</v>
      </c>
      <c r="AG4501" s="372">
        <v>44311</v>
      </c>
      <c r="AH4501">
        <v>3640.07</v>
      </c>
    </row>
    <row r="4502" spans="32:34">
      <c r="AF4502" s="367">
        <f t="shared" si="70"/>
        <v>44287</v>
      </c>
      <c r="AG4502" s="372">
        <v>44312</v>
      </c>
      <c r="AH4502">
        <v>3640.07</v>
      </c>
    </row>
    <row r="4503" spans="32:34">
      <c r="AF4503" s="367">
        <f t="shared" si="70"/>
        <v>44287</v>
      </c>
      <c r="AG4503" s="372">
        <v>44313</v>
      </c>
      <c r="AH4503">
        <v>3659.62</v>
      </c>
    </row>
    <row r="4504" spans="32:34">
      <c r="AF4504" s="367">
        <f t="shared" si="70"/>
        <v>44287</v>
      </c>
      <c r="AG4504" s="372">
        <v>44314</v>
      </c>
      <c r="AH4504">
        <v>3717.46</v>
      </c>
    </row>
    <row r="4505" spans="32:34">
      <c r="AF4505" s="367">
        <f t="shared" si="70"/>
        <v>44287</v>
      </c>
      <c r="AG4505" s="372">
        <v>44315</v>
      </c>
      <c r="AH4505">
        <v>3699.74</v>
      </c>
    </row>
    <row r="4506" spans="32:34">
      <c r="AF4506" s="367">
        <f t="shared" si="70"/>
        <v>44287</v>
      </c>
      <c r="AG4506" s="372">
        <v>44316</v>
      </c>
      <c r="AH4506">
        <v>3712.89</v>
      </c>
    </row>
    <row r="4507" spans="32:34">
      <c r="AF4507" s="367">
        <f t="shared" si="70"/>
        <v>44317</v>
      </c>
      <c r="AG4507" s="372">
        <v>44317</v>
      </c>
      <c r="AH4507">
        <v>3740.14</v>
      </c>
    </row>
    <row r="4508" spans="32:34">
      <c r="AF4508" s="367">
        <f t="shared" si="70"/>
        <v>44317</v>
      </c>
      <c r="AG4508" s="372">
        <v>44318</v>
      </c>
      <c r="AH4508">
        <v>3740.14</v>
      </c>
    </row>
    <row r="4509" spans="32:34">
      <c r="AF4509" s="367">
        <f t="shared" si="70"/>
        <v>44317</v>
      </c>
      <c r="AG4509" s="372">
        <v>44319</v>
      </c>
      <c r="AH4509">
        <v>3740.14</v>
      </c>
    </row>
    <row r="4510" spans="32:34">
      <c r="AF4510" s="367">
        <f t="shared" si="70"/>
        <v>44317</v>
      </c>
      <c r="AG4510" s="372">
        <v>44320</v>
      </c>
      <c r="AH4510">
        <v>3816.65</v>
      </c>
    </row>
    <row r="4511" spans="32:34">
      <c r="AF4511" s="367">
        <f t="shared" si="70"/>
        <v>44317</v>
      </c>
      <c r="AG4511" s="372">
        <v>44321</v>
      </c>
      <c r="AH4511">
        <v>3831.35</v>
      </c>
    </row>
    <row r="4512" spans="32:34">
      <c r="AF4512" s="367">
        <f t="shared" si="70"/>
        <v>44317</v>
      </c>
      <c r="AG4512" s="372">
        <v>44322</v>
      </c>
      <c r="AH4512">
        <v>3846.28</v>
      </c>
    </row>
    <row r="4513" spans="32:34">
      <c r="AF4513" s="367">
        <f t="shared" si="70"/>
        <v>44317</v>
      </c>
      <c r="AG4513" s="372">
        <v>44323</v>
      </c>
      <c r="AH4513">
        <v>3800.33</v>
      </c>
    </row>
    <row r="4514" spans="32:34">
      <c r="AF4514" s="367">
        <f t="shared" si="70"/>
        <v>44317</v>
      </c>
      <c r="AG4514" s="372">
        <v>44324</v>
      </c>
      <c r="AH4514">
        <v>3765.33</v>
      </c>
    </row>
    <row r="4515" spans="32:34">
      <c r="AF4515" s="367">
        <f t="shared" si="70"/>
        <v>44317</v>
      </c>
      <c r="AG4515" s="372">
        <v>44325</v>
      </c>
      <c r="AH4515">
        <v>3765.33</v>
      </c>
    </row>
    <row r="4516" spans="32:34">
      <c r="AF4516" s="367">
        <f t="shared" si="70"/>
        <v>44317</v>
      </c>
      <c r="AG4516" s="372">
        <v>44326</v>
      </c>
      <c r="AH4516">
        <v>3765.33</v>
      </c>
    </row>
    <row r="4517" spans="32:34">
      <c r="AF4517" s="367">
        <f t="shared" si="70"/>
        <v>44317</v>
      </c>
      <c r="AG4517" s="372">
        <v>44327</v>
      </c>
      <c r="AH4517">
        <v>3714.94</v>
      </c>
    </row>
    <row r="4518" spans="32:34">
      <c r="AF4518" s="367">
        <f t="shared" si="70"/>
        <v>44317</v>
      </c>
      <c r="AG4518" s="372">
        <v>44328</v>
      </c>
      <c r="AH4518">
        <v>3703.2</v>
      </c>
    </row>
    <row r="4519" spans="32:34">
      <c r="AF4519" s="367">
        <f t="shared" si="70"/>
        <v>44317</v>
      </c>
      <c r="AG4519" s="372">
        <v>44329</v>
      </c>
      <c r="AH4519">
        <v>3734.09</v>
      </c>
    </row>
    <row r="4520" spans="32:34">
      <c r="AF4520" s="367">
        <f t="shared" si="70"/>
        <v>44317</v>
      </c>
      <c r="AG4520" s="372">
        <v>44330</v>
      </c>
      <c r="AH4520">
        <v>3728.09</v>
      </c>
    </row>
    <row r="4521" spans="32:34">
      <c r="AF4521" s="367">
        <f t="shared" si="70"/>
        <v>44317</v>
      </c>
      <c r="AG4521" s="372">
        <v>44331</v>
      </c>
      <c r="AH4521">
        <v>3682.84</v>
      </c>
    </row>
    <row r="4522" spans="32:34">
      <c r="AF4522" s="367">
        <f t="shared" si="70"/>
        <v>44317</v>
      </c>
      <c r="AG4522" s="372">
        <v>44332</v>
      </c>
      <c r="AH4522">
        <v>3682.84</v>
      </c>
    </row>
    <row r="4523" spans="32:34">
      <c r="AF4523" s="367">
        <f t="shared" si="70"/>
        <v>44317</v>
      </c>
      <c r="AG4523" s="372">
        <v>44333</v>
      </c>
      <c r="AH4523">
        <v>3682.84</v>
      </c>
    </row>
    <row r="4524" spans="32:34">
      <c r="AF4524" s="367">
        <f t="shared" si="70"/>
        <v>44317</v>
      </c>
      <c r="AG4524" s="372">
        <v>44334</v>
      </c>
      <c r="AH4524">
        <v>3682.84</v>
      </c>
    </row>
    <row r="4525" spans="32:34">
      <c r="AF4525" s="367">
        <f t="shared" si="70"/>
        <v>44317</v>
      </c>
      <c r="AG4525" s="372">
        <v>44335</v>
      </c>
      <c r="AH4525">
        <v>3655.74</v>
      </c>
    </row>
    <row r="4526" spans="32:34">
      <c r="AF4526" s="367">
        <f t="shared" si="70"/>
        <v>44317</v>
      </c>
      <c r="AG4526" s="372">
        <v>44336</v>
      </c>
      <c r="AH4526">
        <v>3682.66</v>
      </c>
    </row>
    <row r="4527" spans="32:34">
      <c r="AF4527" s="367">
        <f t="shared" si="70"/>
        <v>44317</v>
      </c>
      <c r="AG4527" s="372">
        <v>44337</v>
      </c>
      <c r="AH4527">
        <v>3721.57</v>
      </c>
    </row>
    <row r="4528" spans="32:34">
      <c r="AF4528" s="367">
        <f t="shared" si="70"/>
        <v>44317</v>
      </c>
      <c r="AG4528" s="372">
        <v>44338</v>
      </c>
      <c r="AH4528">
        <v>3738.19</v>
      </c>
    </row>
    <row r="4529" spans="32:34">
      <c r="AF4529" s="367">
        <f t="shared" si="70"/>
        <v>44317</v>
      </c>
      <c r="AG4529" s="372">
        <v>44339</v>
      </c>
      <c r="AH4529">
        <v>3738.19</v>
      </c>
    </row>
    <row r="4530" spans="32:34">
      <c r="AF4530" s="367">
        <f t="shared" si="70"/>
        <v>44317</v>
      </c>
      <c r="AG4530" s="372">
        <v>44340</v>
      </c>
      <c r="AH4530">
        <v>3738.19</v>
      </c>
    </row>
    <row r="4531" spans="32:34">
      <c r="AF4531" s="367">
        <f t="shared" si="70"/>
        <v>44317</v>
      </c>
      <c r="AG4531" s="372">
        <v>44341</v>
      </c>
      <c r="AH4531">
        <v>3750.66</v>
      </c>
    </row>
    <row r="4532" spans="32:34">
      <c r="AF4532" s="367">
        <f t="shared" si="70"/>
        <v>44317</v>
      </c>
      <c r="AG4532" s="372">
        <v>44342</v>
      </c>
      <c r="AH4532">
        <v>3735.41</v>
      </c>
    </row>
    <row r="4533" spans="32:34">
      <c r="AF4533" s="367">
        <f t="shared" si="70"/>
        <v>44317</v>
      </c>
      <c r="AG4533" s="372">
        <v>44343</v>
      </c>
      <c r="AH4533">
        <v>3747.48</v>
      </c>
    </row>
    <row r="4534" spans="32:34">
      <c r="AF4534" s="367">
        <f t="shared" si="70"/>
        <v>44317</v>
      </c>
      <c r="AG4534" s="372">
        <v>44344</v>
      </c>
      <c r="AH4534">
        <v>3729.02</v>
      </c>
    </row>
    <row r="4535" spans="32:34">
      <c r="AF4535" s="367">
        <f t="shared" si="70"/>
        <v>44317</v>
      </c>
      <c r="AG4535" s="372">
        <v>44345</v>
      </c>
      <c r="AH4535">
        <v>3715.28</v>
      </c>
    </row>
    <row r="4536" spans="32:34">
      <c r="AF4536" s="367">
        <f t="shared" si="70"/>
        <v>44317</v>
      </c>
      <c r="AG4536" s="372">
        <v>44346</v>
      </c>
      <c r="AH4536">
        <v>3715.28</v>
      </c>
    </row>
    <row r="4537" spans="32:34">
      <c r="AF4537" s="367">
        <f t="shared" si="70"/>
        <v>44317</v>
      </c>
      <c r="AG4537" s="372">
        <v>44347</v>
      </c>
      <c r="AH4537">
        <v>3715.28</v>
      </c>
    </row>
    <row r="4538" spans="32:34">
      <c r="AF4538" s="367">
        <f t="shared" si="70"/>
        <v>44348</v>
      </c>
      <c r="AG4538" s="372">
        <v>44348</v>
      </c>
      <c r="AH4538">
        <v>3715.28</v>
      </c>
    </row>
    <row r="4539" spans="32:34">
      <c r="AF4539" s="367">
        <f t="shared" si="70"/>
        <v>44348</v>
      </c>
      <c r="AG4539" s="372">
        <v>44349</v>
      </c>
      <c r="AH4539">
        <v>3671.38</v>
      </c>
    </row>
    <row r="4540" spans="32:34">
      <c r="AF4540" s="367">
        <f t="shared" si="70"/>
        <v>44348</v>
      </c>
      <c r="AG4540" s="372">
        <v>44350</v>
      </c>
      <c r="AH4540">
        <v>3642.29</v>
      </c>
    </row>
    <row r="4541" spans="32:34">
      <c r="AF4541" s="367">
        <f t="shared" si="70"/>
        <v>44348</v>
      </c>
      <c r="AG4541" s="372">
        <v>44351</v>
      </c>
      <c r="AH4541">
        <v>3657.41</v>
      </c>
    </row>
    <row r="4542" spans="32:34">
      <c r="AF4542" s="367">
        <f t="shared" si="70"/>
        <v>44348</v>
      </c>
      <c r="AG4542" s="372">
        <v>44352</v>
      </c>
      <c r="AH4542">
        <v>3609.2</v>
      </c>
    </row>
    <row r="4543" spans="32:34">
      <c r="AF4543" s="367">
        <f t="shared" si="70"/>
        <v>44348</v>
      </c>
      <c r="AG4543" s="372">
        <v>44353</v>
      </c>
      <c r="AH4543">
        <v>3609.2</v>
      </c>
    </row>
    <row r="4544" spans="32:34">
      <c r="AF4544" s="367">
        <f t="shared" si="70"/>
        <v>44348</v>
      </c>
      <c r="AG4544" s="372">
        <v>44354</v>
      </c>
      <c r="AH4544">
        <v>3609.2</v>
      </c>
    </row>
    <row r="4545" spans="32:34">
      <c r="AF4545" s="367">
        <f t="shared" si="70"/>
        <v>44348</v>
      </c>
      <c r="AG4545" s="372">
        <v>44355</v>
      </c>
      <c r="AH4545">
        <v>3609.2</v>
      </c>
    </row>
    <row r="4546" spans="32:34">
      <c r="AF4546" s="367">
        <f t="shared" si="70"/>
        <v>44348</v>
      </c>
      <c r="AG4546" s="372">
        <v>44356</v>
      </c>
      <c r="AH4546">
        <v>3597.18</v>
      </c>
    </row>
    <row r="4547" spans="32:34">
      <c r="AF4547" s="367">
        <f t="shared" si="70"/>
        <v>44348</v>
      </c>
      <c r="AG4547" s="372">
        <v>44357</v>
      </c>
      <c r="AH4547">
        <v>3588.41</v>
      </c>
    </row>
    <row r="4548" spans="32:34">
      <c r="AF4548" s="367">
        <f t="shared" ref="AF4548:AF4611" si="71">+DATE(YEAR(AG4548),MONTH(AG4548),1)</f>
        <v>44348</v>
      </c>
      <c r="AG4548" s="372">
        <v>44358</v>
      </c>
      <c r="AH4548">
        <v>3589.86</v>
      </c>
    </row>
    <row r="4549" spans="32:34">
      <c r="AF4549" s="367">
        <f t="shared" si="71"/>
        <v>44348</v>
      </c>
      <c r="AG4549" s="372">
        <v>44359</v>
      </c>
      <c r="AH4549">
        <v>3626.02</v>
      </c>
    </row>
    <row r="4550" spans="32:34">
      <c r="AF4550" s="367">
        <f t="shared" si="71"/>
        <v>44348</v>
      </c>
      <c r="AG4550" s="372">
        <v>44360</v>
      </c>
      <c r="AH4550">
        <v>3626.02</v>
      </c>
    </row>
    <row r="4551" spans="32:34">
      <c r="AF4551" s="367">
        <f t="shared" si="71"/>
        <v>44348</v>
      </c>
      <c r="AG4551" s="372">
        <v>44361</v>
      </c>
      <c r="AH4551">
        <v>3626.02</v>
      </c>
    </row>
    <row r="4552" spans="32:34">
      <c r="AF4552" s="367">
        <f t="shared" si="71"/>
        <v>44348</v>
      </c>
      <c r="AG4552" s="372">
        <v>44362</v>
      </c>
      <c r="AH4552">
        <v>3626.02</v>
      </c>
    </row>
    <row r="4553" spans="32:34">
      <c r="AF4553" s="367">
        <f t="shared" si="71"/>
        <v>44348</v>
      </c>
      <c r="AG4553" s="372">
        <v>44363</v>
      </c>
      <c r="AH4553">
        <v>3693.35</v>
      </c>
    </row>
    <row r="4554" spans="32:34">
      <c r="AF4554" s="367">
        <f t="shared" si="71"/>
        <v>44348</v>
      </c>
      <c r="AG4554" s="372">
        <v>44364</v>
      </c>
      <c r="AH4554">
        <v>3690.56</v>
      </c>
    </row>
    <row r="4555" spans="32:34">
      <c r="AF4555" s="367">
        <f t="shared" si="71"/>
        <v>44348</v>
      </c>
      <c r="AG4555" s="372">
        <v>44365</v>
      </c>
      <c r="AH4555">
        <v>3730.45</v>
      </c>
    </row>
    <row r="4556" spans="32:34">
      <c r="AF4556" s="367">
        <f t="shared" si="71"/>
        <v>44348</v>
      </c>
      <c r="AG4556" s="372">
        <v>44366</v>
      </c>
      <c r="AH4556">
        <v>3753.77</v>
      </c>
    </row>
    <row r="4557" spans="32:34">
      <c r="AF4557" s="367">
        <f t="shared" si="71"/>
        <v>44348</v>
      </c>
      <c r="AG4557" s="372">
        <v>44367</v>
      </c>
      <c r="AH4557">
        <v>3753.77</v>
      </c>
    </row>
    <row r="4558" spans="32:34">
      <c r="AF4558" s="367">
        <f t="shared" si="71"/>
        <v>44348</v>
      </c>
      <c r="AG4558" s="372">
        <v>44368</v>
      </c>
      <c r="AH4558">
        <v>3753.77</v>
      </c>
    </row>
    <row r="4559" spans="32:34">
      <c r="AF4559" s="367">
        <f t="shared" si="71"/>
        <v>44348</v>
      </c>
      <c r="AG4559" s="372">
        <v>44369</v>
      </c>
      <c r="AH4559">
        <v>3758.08</v>
      </c>
    </row>
    <row r="4560" spans="32:34">
      <c r="AF4560" s="367">
        <f t="shared" si="71"/>
        <v>44348</v>
      </c>
      <c r="AG4560" s="372">
        <v>44370</v>
      </c>
      <c r="AH4560">
        <v>3784.45</v>
      </c>
    </row>
    <row r="4561" spans="32:34">
      <c r="AF4561" s="367">
        <f t="shared" si="71"/>
        <v>44348</v>
      </c>
      <c r="AG4561" s="372">
        <v>44371</v>
      </c>
      <c r="AH4561">
        <v>3773.11</v>
      </c>
    </row>
    <row r="4562" spans="32:34">
      <c r="AF4562" s="367">
        <f t="shared" si="71"/>
        <v>44348</v>
      </c>
      <c r="AG4562" s="372">
        <v>44372</v>
      </c>
      <c r="AH4562">
        <v>3770.35</v>
      </c>
    </row>
    <row r="4563" spans="32:34">
      <c r="AF4563" s="367">
        <f t="shared" si="71"/>
        <v>44348</v>
      </c>
      <c r="AG4563" s="372">
        <v>44373</v>
      </c>
      <c r="AH4563">
        <v>3739.03</v>
      </c>
    </row>
    <row r="4564" spans="32:34">
      <c r="AF4564" s="367">
        <f t="shared" si="71"/>
        <v>44348</v>
      </c>
      <c r="AG4564" s="372">
        <v>44374</v>
      </c>
      <c r="AH4564">
        <v>3739.03</v>
      </c>
    </row>
    <row r="4565" spans="32:34">
      <c r="AF4565" s="367">
        <f t="shared" si="71"/>
        <v>44348</v>
      </c>
      <c r="AG4565" s="372">
        <v>44375</v>
      </c>
      <c r="AH4565">
        <v>3739.03</v>
      </c>
    </row>
    <row r="4566" spans="32:34">
      <c r="AF4566" s="367">
        <f t="shared" si="71"/>
        <v>44348</v>
      </c>
      <c r="AG4566" s="372">
        <v>44376</v>
      </c>
      <c r="AH4566">
        <v>3713.17</v>
      </c>
    </row>
    <row r="4567" spans="32:34">
      <c r="AF4567" s="367">
        <f t="shared" si="71"/>
        <v>44348</v>
      </c>
      <c r="AG4567" s="372">
        <v>44377</v>
      </c>
      <c r="AH4567">
        <v>3756.67</v>
      </c>
    </row>
    <row r="4568" spans="32:34">
      <c r="AF4568" s="367">
        <f t="shared" si="71"/>
        <v>44378</v>
      </c>
      <c r="AG4568" s="372">
        <v>44378</v>
      </c>
      <c r="AH4568">
        <v>3748.5</v>
      </c>
    </row>
    <row r="4569" spans="32:34">
      <c r="AF4569" s="367">
        <f t="shared" si="71"/>
        <v>44378</v>
      </c>
      <c r="AG4569" s="372">
        <v>44379</v>
      </c>
      <c r="AH4569">
        <v>3775.53</v>
      </c>
    </row>
    <row r="4570" spans="32:34">
      <c r="AF4570" s="367">
        <f t="shared" si="71"/>
        <v>44378</v>
      </c>
      <c r="AG4570" s="372">
        <v>44380</v>
      </c>
      <c r="AH4570">
        <v>3777.17</v>
      </c>
    </row>
    <row r="4571" spans="32:34">
      <c r="AF4571" s="367">
        <f t="shared" si="71"/>
        <v>44378</v>
      </c>
      <c r="AG4571" s="372">
        <v>44381</v>
      </c>
      <c r="AH4571">
        <v>3777.17</v>
      </c>
    </row>
    <row r="4572" spans="32:34">
      <c r="AF4572" s="367">
        <f t="shared" si="71"/>
        <v>44378</v>
      </c>
      <c r="AG4572" s="372">
        <v>44382</v>
      </c>
      <c r="AH4572">
        <v>3777.17</v>
      </c>
    </row>
    <row r="4573" spans="32:34">
      <c r="AF4573" s="367">
        <f t="shared" si="71"/>
        <v>44378</v>
      </c>
      <c r="AG4573" s="372">
        <v>44383</v>
      </c>
      <c r="AH4573">
        <v>3777.17</v>
      </c>
    </row>
    <row r="4574" spans="32:34">
      <c r="AF4574" s="367">
        <f t="shared" si="71"/>
        <v>44378</v>
      </c>
      <c r="AG4574" s="372">
        <v>44384</v>
      </c>
      <c r="AH4574">
        <v>3782.27</v>
      </c>
    </row>
    <row r="4575" spans="32:34">
      <c r="AF4575" s="367">
        <f t="shared" si="71"/>
        <v>44378</v>
      </c>
      <c r="AG4575" s="372">
        <v>44385</v>
      </c>
      <c r="AH4575">
        <v>3815.22</v>
      </c>
    </row>
    <row r="4576" spans="32:34">
      <c r="AF4576" s="367">
        <f t="shared" si="71"/>
        <v>44378</v>
      </c>
      <c r="AG4576" s="372">
        <v>44386</v>
      </c>
      <c r="AH4576">
        <v>3850.46</v>
      </c>
    </row>
    <row r="4577" spans="32:34">
      <c r="AF4577" s="367">
        <f t="shared" si="71"/>
        <v>44378</v>
      </c>
      <c r="AG4577" s="372">
        <v>44387</v>
      </c>
      <c r="AH4577">
        <v>3829.46</v>
      </c>
    </row>
    <row r="4578" spans="32:34">
      <c r="AF4578" s="367">
        <f t="shared" si="71"/>
        <v>44378</v>
      </c>
      <c r="AG4578" s="372">
        <v>44388</v>
      </c>
      <c r="AH4578">
        <v>3829.46</v>
      </c>
    </row>
    <row r="4579" spans="32:34">
      <c r="AF4579" s="367">
        <f t="shared" si="71"/>
        <v>44378</v>
      </c>
      <c r="AG4579" s="372">
        <v>44389</v>
      </c>
      <c r="AH4579">
        <v>3829.46</v>
      </c>
    </row>
    <row r="4580" spans="32:34">
      <c r="AF4580" s="367">
        <f t="shared" si="71"/>
        <v>44378</v>
      </c>
      <c r="AG4580" s="372">
        <v>44390</v>
      </c>
      <c r="AH4580">
        <v>3824.08</v>
      </c>
    </row>
    <row r="4581" spans="32:34">
      <c r="AF4581" s="367">
        <f t="shared" si="71"/>
        <v>44378</v>
      </c>
      <c r="AG4581" s="372">
        <v>44391</v>
      </c>
      <c r="AH4581">
        <v>3826.85</v>
      </c>
    </row>
    <row r="4582" spans="32:34">
      <c r="AF4582" s="367">
        <f t="shared" si="71"/>
        <v>44378</v>
      </c>
      <c r="AG4582" s="372">
        <v>44392</v>
      </c>
      <c r="AH4582">
        <v>3796.07</v>
      </c>
    </row>
    <row r="4583" spans="32:34">
      <c r="AF4583" s="367">
        <f t="shared" si="71"/>
        <v>44378</v>
      </c>
      <c r="AG4583" s="372">
        <v>44393</v>
      </c>
      <c r="AH4583">
        <v>3809.07</v>
      </c>
    </row>
    <row r="4584" spans="32:34">
      <c r="AF4584" s="367">
        <f t="shared" si="71"/>
        <v>44378</v>
      </c>
      <c r="AG4584" s="372">
        <v>44394</v>
      </c>
      <c r="AH4584">
        <v>3808.46</v>
      </c>
    </row>
    <row r="4585" spans="32:34">
      <c r="AF4585" s="367">
        <f t="shared" si="71"/>
        <v>44378</v>
      </c>
      <c r="AG4585" s="372">
        <v>44395</v>
      </c>
      <c r="AH4585">
        <v>3808.46</v>
      </c>
    </row>
    <row r="4586" spans="32:34">
      <c r="AF4586" s="367">
        <f t="shared" si="71"/>
        <v>44378</v>
      </c>
      <c r="AG4586" s="372">
        <v>44396</v>
      </c>
      <c r="AH4586">
        <v>3808.46</v>
      </c>
    </row>
    <row r="4587" spans="32:34">
      <c r="AF4587" s="367">
        <f t="shared" si="71"/>
        <v>44378</v>
      </c>
      <c r="AG4587" s="372">
        <v>44397</v>
      </c>
      <c r="AH4587">
        <v>3842.97</v>
      </c>
    </row>
    <row r="4588" spans="32:34">
      <c r="AF4588" s="367">
        <f t="shared" si="71"/>
        <v>44378</v>
      </c>
      <c r="AG4588" s="372">
        <v>44398</v>
      </c>
      <c r="AH4588">
        <v>3842.97</v>
      </c>
    </row>
    <row r="4589" spans="32:34">
      <c r="AF4589" s="367">
        <f t="shared" si="71"/>
        <v>44378</v>
      </c>
      <c r="AG4589" s="372">
        <v>44399</v>
      </c>
      <c r="AH4589">
        <v>3855.68</v>
      </c>
    </row>
    <row r="4590" spans="32:34">
      <c r="AF4590" s="367">
        <f t="shared" si="71"/>
        <v>44378</v>
      </c>
      <c r="AG4590" s="372">
        <v>44400</v>
      </c>
      <c r="AH4590">
        <v>3866.86</v>
      </c>
    </row>
    <row r="4591" spans="32:34">
      <c r="AF4591" s="367">
        <f t="shared" si="71"/>
        <v>44378</v>
      </c>
      <c r="AG4591" s="372">
        <v>44401</v>
      </c>
      <c r="AH4591">
        <v>3874.44</v>
      </c>
    </row>
    <row r="4592" spans="32:34">
      <c r="AF4592" s="367">
        <f t="shared" si="71"/>
        <v>44378</v>
      </c>
      <c r="AG4592" s="372">
        <v>44402</v>
      </c>
      <c r="AH4592">
        <v>3874.44</v>
      </c>
    </row>
    <row r="4593" spans="32:34">
      <c r="AF4593" s="367">
        <f t="shared" si="71"/>
        <v>44378</v>
      </c>
      <c r="AG4593" s="372">
        <v>44403</v>
      </c>
      <c r="AH4593">
        <v>3874.44</v>
      </c>
    </row>
    <row r="4594" spans="32:34">
      <c r="AF4594" s="367">
        <f t="shared" si="71"/>
        <v>44378</v>
      </c>
      <c r="AG4594" s="372">
        <v>44404</v>
      </c>
      <c r="AH4594">
        <v>3904.17</v>
      </c>
    </row>
    <row r="4595" spans="32:34">
      <c r="AF4595" s="367">
        <f t="shared" si="71"/>
        <v>44378</v>
      </c>
      <c r="AG4595" s="372">
        <v>44405</v>
      </c>
      <c r="AH4595">
        <v>3918.49</v>
      </c>
    </row>
    <row r="4596" spans="32:34">
      <c r="AF4596" s="367">
        <f t="shared" si="71"/>
        <v>44378</v>
      </c>
      <c r="AG4596" s="372">
        <v>44406</v>
      </c>
      <c r="AH4596">
        <v>3902.18</v>
      </c>
    </row>
    <row r="4597" spans="32:34">
      <c r="AF4597" s="367">
        <f t="shared" si="71"/>
        <v>44378</v>
      </c>
      <c r="AG4597" s="372">
        <v>44407</v>
      </c>
      <c r="AH4597">
        <v>3836.95</v>
      </c>
    </row>
    <row r="4598" spans="32:34">
      <c r="AF4598" s="367">
        <f t="shared" si="71"/>
        <v>44378</v>
      </c>
      <c r="AG4598" s="372">
        <v>44408</v>
      </c>
      <c r="AH4598">
        <v>3867.88</v>
      </c>
    </row>
    <row r="4599" spans="32:34">
      <c r="AF4599" s="367">
        <f t="shared" si="71"/>
        <v>44409</v>
      </c>
      <c r="AG4599" s="372">
        <v>44409</v>
      </c>
      <c r="AH4599">
        <v>3867.88</v>
      </c>
    </row>
    <row r="4600" spans="32:34">
      <c r="AF4600" s="367">
        <f t="shared" si="71"/>
        <v>44409</v>
      </c>
      <c r="AG4600" s="372">
        <v>44410</v>
      </c>
      <c r="AH4600">
        <v>3867.88</v>
      </c>
    </row>
    <row r="4601" spans="32:34">
      <c r="AF4601" s="367">
        <f t="shared" si="71"/>
        <v>44409</v>
      </c>
      <c r="AG4601" s="372">
        <v>44411</v>
      </c>
      <c r="AH4601">
        <v>3865.46</v>
      </c>
    </row>
    <row r="4602" spans="32:34">
      <c r="AF4602" s="367">
        <f t="shared" si="71"/>
        <v>44409</v>
      </c>
      <c r="AG4602" s="372">
        <v>44412</v>
      </c>
      <c r="AH4602">
        <v>3913.59</v>
      </c>
    </row>
    <row r="4603" spans="32:34">
      <c r="AF4603" s="367">
        <f t="shared" si="71"/>
        <v>44409</v>
      </c>
      <c r="AG4603" s="372">
        <v>44413</v>
      </c>
      <c r="AH4603">
        <v>3911.36</v>
      </c>
    </row>
    <row r="4604" spans="32:34">
      <c r="AF4604" s="367">
        <f t="shared" si="71"/>
        <v>44409</v>
      </c>
      <c r="AG4604" s="372">
        <v>44414</v>
      </c>
      <c r="AH4604">
        <v>3910.8119056330602</v>
      </c>
    </row>
    <row r="4605" spans="32:34">
      <c r="AF4605" s="367">
        <f t="shared" si="71"/>
        <v>44409</v>
      </c>
      <c r="AG4605" s="372">
        <v>44415</v>
      </c>
      <c r="AH4605">
        <v>3949.33</v>
      </c>
    </row>
    <row r="4606" spans="32:34">
      <c r="AF4606" s="367">
        <f t="shared" si="71"/>
        <v>44409</v>
      </c>
      <c r="AG4606" s="372">
        <v>44416</v>
      </c>
      <c r="AH4606">
        <v>3949.33</v>
      </c>
    </row>
    <row r="4607" spans="32:34">
      <c r="AF4607" s="367">
        <f t="shared" si="71"/>
        <v>44409</v>
      </c>
      <c r="AG4607" s="372">
        <v>44417</v>
      </c>
      <c r="AH4607">
        <v>3949.33</v>
      </c>
    </row>
    <row r="4608" spans="32:34">
      <c r="AF4608" s="367">
        <f t="shared" si="71"/>
        <v>44409</v>
      </c>
      <c r="AG4608" s="372">
        <v>44418</v>
      </c>
      <c r="AH4608">
        <v>3988.27</v>
      </c>
    </row>
    <row r="4609" spans="32:34">
      <c r="AF4609" s="367">
        <f t="shared" si="71"/>
        <v>44409</v>
      </c>
      <c r="AG4609" s="372">
        <v>44419</v>
      </c>
      <c r="AH4609">
        <v>3979.8</v>
      </c>
    </row>
    <row r="4610" spans="32:34">
      <c r="AF4610" s="367">
        <f t="shared" si="71"/>
        <v>44409</v>
      </c>
      <c r="AG4610" s="372">
        <v>44420</v>
      </c>
      <c r="AH4610">
        <v>3950.43</v>
      </c>
    </row>
    <row r="4611" spans="32:34">
      <c r="AF4611" s="367">
        <f t="shared" si="71"/>
        <v>44409</v>
      </c>
      <c r="AG4611" s="372">
        <v>44421</v>
      </c>
      <c r="AH4611">
        <v>3887.07</v>
      </c>
    </row>
    <row r="4612" spans="32:34">
      <c r="AF4612" s="367">
        <f t="shared" ref="AF4612:AF4675" si="72">+DATE(YEAR(AG4612),MONTH(AG4612),1)</f>
        <v>44409</v>
      </c>
      <c r="AG4612" s="372">
        <v>44422</v>
      </c>
      <c r="AH4612">
        <v>3830.25</v>
      </c>
    </row>
    <row r="4613" spans="32:34">
      <c r="AF4613" s="367">
        <f t="shared" si="72"/>
        <v>44409</v>
      </c>
      <c r="AG4613" s="372">
        <v>44423</v>
      </c>
      <c r="AH4613">
        <v>3830.25</v>
      </c>
    </row>
    <row r="4614" spans="32:34">
      <c r="AF4614" s="367">
        <f t="shared" si="72"/>
        <v>44409</v>
      </c>
      <c r="AG4614" s="372">
        <v>44424</v>
      </c>
      <c r="AH4614">
        <v>3830.25</v>
      </c>
    </row>
    <row r="4615" spans="32:34">
      <c r="AF4615" s="367">
        <f t="shared" si="72"/>
        <v>44409</v>
      </c>
      <c r="AG4615" s="372">
        <v>44425</v>
      </c>
      <c r="AH4615">
        <v>3830.25</v>
      </c>
    </row>
    <row r="4616" spans="32:34">
      <c r="AF4616" s="367">
        <f t="shared" si="72"/>
        <v>44409</v>
      </c>
      <c r="AG4616" s="372">
        <v>44426</v>
      </c>
      <c r="AH4616">
        <v>3868.41</v>
      </c>
    </row>
    <row r="4617" spans="32:34">
      <c r="AF4617" s="367">
        <f t="shared" si="72"/>
        <v>44409</v>
      </c>
      <c r="AG4617" s="372">
        <v>44427</v>
      </c>
      <c r="AH4617">
        <v>3861.33</v>
      </c>
    </row>
    <row r="4618" spans="32:34">
      <c r="AF4618" s="367">
        <f t="shared" si="72"/>
        <v>44409</v>
      </c>
      <c r="AG4618" s="372">
        <v>44428</v>
      </c>
      <c r="AH4618">
        <v>3876.08</v>
      </c>
    </row>
    <row r="4619" spans="32:34">
      <c r="AF4619" s="367">
        <f t="shared" si="72"/>
        <v>44409</v>
      </c>
      <c r="AG4619" s="372">
        <v>44429</v>
      </c>
      <c r="AH4619">
        <v>3874.95</v>
      </c>
    </row>
    <row r="4620" spans="32:34">
      <c r="AF4620" s="367">
        <f t="shared" si="72"/>
        <v>44409</v>
      </c>
      <c r="AG4620" s="372">
        <v>44430</v>
      </c>
      <c r="AH4620">
        <v>3874.95</v>
      </c>
    </row>
    <row r="4621" spans="32:34">
      <c r="AF4621" s="367">
        <f t="shared" si="72"/>
        <v>44409</v>
      </c>
      <c r="AG4621" s="372">
        <v>44431</v>
      </c>
      <c r="AH4621">
        <v>3874.95</v>
      </c>
    </row>
    <row r="4622" spans="32:34">
      <c r="AF4622" s="367">
        <f t="shared" si="72"/>
        <v>44409</v>
      </c>
      <c r="AG4622" s="372">
        <v>44432</v>
      </c>
      <c r="AH4622">
        <v>3867.73</v>
      </c>
    </row>
    <row r="4623" spans="32:34">
      <c r="AF4623" s="367">
        <f t="shared" si="72"/>
        <v>44409</v>
      </c>
      <c r="AG4623" s="372">
        <v>44433</v>
      </c>
      <c r="AH4623">
        <v>3861.88</v>
      </c>
    </row>
    <row r="4624" spans="32:34">
      <c r="AF4624" s="367">
        <f t="shared" si="72"/>
        <v>44409</v>
      </c>
      <c r="AG4624" s="372">
        <v>44434</v>
      </c>
      <c r="AH4624">
        <v>3865.04</v>
      </c>
    </row>
    <row r="4625" spans="32:34">
      <c r="AF4625" s="367">
        <f t="shared" si="72"/>
        <v>44409</v>
      </c>
      <c r="AG4625" s="372">
        <v>44435</v>
      </c>
      <c r="AH4625">
        <v>3870.57</v>
      </c>
    </row>
    <row r="4626" spans="32:34">
      <c r="AF4626" s="367">
        <f t="shared" si="72"/>
        <v>44409</v>
      </c>
      <c r="AG4626" s="372">
        <v>44436</v>
      </c>
      <c r="AH4626">
        <v>3834.13</v>
      </c>
    </row>
    <row r="4627" spans="32:34">
      <c r="AF4627" s="367">
        <f t="shared" si="72"/>
        <v>44409</v>
      </c>
      <c r="AG4627" s="372">
        <v>44437</v>
      </c>
      <c r="AH4627">
        <v>3834.13</v>
      </c>
    </row>
    <row r="4628" spans="32:34">
      <c r="AF4628" s="367">
        <f t="shared" si="72"/>
        <v>44409</v>
      </c>
      <c r="AG4628" s="372">
        <v>44438</v>
      </c>
      <c r="AH4628">
        <v>3834.13</v>
      </c>
    </row>
    <row r="4629" spans="32:34">
      <c r="AF4629" s="367">
        <f t="shared" si="72"/>
        <v>44409</v>
      </c>
      <c r="AG4629" s="372">
        <v>44439</v>
      </c>
      <c r="AH4629">
        <v>3806.87</v>
      </c>
    </row>
    <row r="4630" spans="32:34">
      <c r="AF4630" s="367">
        <f t="shared" si="72"/>
        <v>44440</v>
      </c>
      <c r="AG4630" s="372">
        <v>44440</v>
      </c>
      <c r="AH4630">
        <v>3774</v>
      </c>
    </row>
    <row r="4631" spans="32:34">
      <c r="AF4631" s="367">
        <f t="shared" si="72"/>
        <v>44440</v>
      </c>
      <c r="AG4631" s="372">
        <v>44441</v>
      </c>
      <c r="AH4631">
        <v>3753.3</v>
      </c>
    </row>
    <row r="4632" spans="32:34">
      <c r="AF4632" s="367">
        <f t="shared" si="72"/>
        <v>44440</v>
      </c>
      <c r="AG4632" s="372">
        <v>44442</v>
      </c>
      <c r="AH4632">
        <v>3780.85</v>
      </c>
    </row>
    <row r="4633" spans="32:34">
      <c r="AF4633" s="367">
        <f t="shared" si="72"/>
        <v>44440</v>
      </c>
      <c r="AG4633" s="372">
        <v>44443</v>
      </c>
      <c r="AH4633">
        <v>3790.04</v>
      </c>
    </row>
    <row r="4634" spans="32:34">
      <c r="AF4634" s="367">
        <f t="shared" si="72"/>
        <v>44440</v>
      </c>
      <c r="AG4634" s="372">
        <v>44444</v>
      </c>
      <c r="AH4634">
        <v>3790.04</v>
      </c>
    </row>
    <row r="4635" spans="32:34">
      <c r="AF4635" s="367">
        <f t="shared" si="72"/>
        <v>44440</v>
      </c>
      <c r="AG4635" s="372">
        <v>44445</v>
      </c>
      <c r="AH4635">
        <v>3790.04</v>
      </c>
    </row>
    <row r="4636" spans="32:34">
      <c r="AF4636" s="367">
        <f t="shared" si="72"/>
        <v>44440</v>
      </c>
      <c r="AG4636" s="372">
        <v>44446</v>
      </c>
      <c r="AH4636">
        <v>3790.04</v>
      </c>
    </row>
    <row r="4637" spans="32:34">
      <c r="AF4637" s="367">
        <f t="shared" si="72"/>
        <v>44440</v>
      </c>
      <c r="AG4637" s="372">
        <v>44447</v>
      </c>
      <c r="AH4637">
        <v>3812.76</v>
      </c>
    </row>
    <row r="4638" spans="32:34">
      <c r="AF4638" s="367">
        <f t="shared" si="72"/>
        <v>44440</v>
      </c>
      <c r="AG4638" s="372">
        <v>44448</v>
      </c>
      <c r="AH4638">
        <v>3816.14</v>
      </c>
    </row>
    <row r="4639" spans="32:34">
      <c r="AF4639" s="367">
        <f t="shared" si="72"/>
        <v>44440</v>
      </c>
      <c r="AG4639" s="372">
        <v>44449</v>
      </c>
      <c r="AH4639">
        <v>3829.72</v>
      </c>
    </row>
    <row r="4640" spans="32:34">
      <c r="AF4640" s="367">
        <f t="shared" si="72"/>
        <v>44440</v>
      </c>
      <c r="AG4640" s="372">
        <v>44450</v>
      </c>
      <c r="AH4640">
        <v>3836.85</v>
      </c>
    </row>
    <row r="4641" spans="32:34">
      <c r="AF4641" s="367">
        <f t="shared" si="72"/>
        <v>44440</v>
      </c>
      <c r="AG4641" s="372">
        <v>44451</v>
      </c>
      <c r="AH4641">
        <v>3836.85</v>
      </c>
    </row>
    <row r="4642" spans="32:34">
      <c r="AF4642" s="367">
        <f t="shared" si="72"/>
        <v>44440</v>
      </c>
      <c r="AG4642" s="372">
        <v>44452</v>
      </c>
      <c r="AH4642">
        <v>3836.85</v>
      </c>
    </row>
    <row r="4643" spans="32:34">
      <c r="AF4643" s="367">
        <f t="shared" si="72"/>
        <v>44440</v>
      </c>
      <c r="AG4643" s="372">
        <v>44453</v>
      </c>
      <c r="AH4643">
        <v>3835.27</v>
      </c>
    </row>
    <row r="4644" spans="32:34">
      <c r="AF4644" s="367">
        <f t="shared" si="72"/>
        <v>44440</v>
      </c>
      <c r="AG4644" s="372">
        <v>44454</v>
      </c>
      <c r="AH4644">
        <v>3830.83</v>
      </c>
    </row>
    <row r="4645" spans="32:34">
      <c r="AF4645" s="367">
        <f t="shared" si="72"/>
        <v>44440</v>
      </c>
      <c r="AG4645" s="372">
        <v>44455</v>
      </c>
      <c r="AH4645">
        <v>3825.36</v>
      </c>
    </row>
    <row r="4646" spans="32:34">
      <c r="AF4646" s="367">
        <f t="shared" si="72"/>
        <v>44440</v>
      </c>
      <c r="AG4646" s="372">
        <v>44456</v>
      </c>
      <c r="AH4646">
        <v>3818.16</v>
      </c>
    </row>
    <row r="4647" spans="32:34">
      <c r="AF4647" s="367">
        <f t="shared" si="72"/>
        <v>44440</v>
      </c>
      <c r="AG4647" s="372">
        <v>44457</v>
      </c>
      <c r="AH4647">
        <v>3828.18</v>
      </c>
    </row>
    <row r="4648" spans="32:34">
      <c r="AF4648" s="367">
        <f t="shared" si="72"/>
        <v>44440</v>
      </c>
      <c r="AG4648" s="372">
        <v>44458</v>
      </c>
      <c r="AH4648">
        <v>3828.18</v>
      </c>
    </row>
    <row r="4649" spans="32:34">
      <c r="AF4649" s="367">
        <f t="shared" si="72"/>
        <v>44440</v>
      </c>
      <c r="AG4649" s="372">
        <v>44459</v>
      </c>
      <c r="AH4649">
        <v>3828.18</v>
      </c>
    </row>
    <row r="4650" spans="32:34">
      <c r="AF4650" s="367">
        <f t="shared" si="72"/>
        <v>44440</v>
      </c>
      <c r="AG4650" s="372">
        <v>44460</v>
      </c>
      <c r="AH4650">
        <v>3851.22</v>
      </c>
    </row>
    <row r="4651" spans="32:34">
      <c r="AF4651" s="367">
        <f t="shared" si="72"/>
        <v>44440</v>
      </c>
      <c r="AG4651" s="372">
        <v>44461</v>
      </c>
      <c r="AH4651">
        <v>3843.77</v>
      </c>
    </row>
    <row r="4652" spans="32:34">
      <c r="AF4652" s="367">
        <f t="shared" si="72"/>
        <v>44440</v>
      </c>
      <c r="AG4652" s="372">
        <v>44462</v>
      </c>
      <c r="AH4652">
        <v>3834.66</v>
      </c>
    </row>
    <row r="4653" spans="32:34">
      <c r="AF4653" s="367">
        <f t="shared" si="72"/>
        <v>44440</v>
      </c>
      <c r="AG4653" s="372">
        <v>44463</v>
      </c>
      <c r="AH4653">
        <v>3835.67</v>
      </c>
    </row>
    <row r="4654" spans="32:34">
      <c r="AF4654" s="367">
        <f t="shared" si="72"/>
        <v>44440</v>
      </c>
      <c r="AG4654" s="372">
        <v>44464</v>
      </c>
      <c r="AH4654">
        <v>3844.88</v>
      </c>
    </row>
    <row r="4655" spans="32:34">
      <c r="AF4655" s="367">
        <f t="shared" si="72"/>
        <v>44440</v>
      </c>
      <c r="AG4655" s="372">
        <v>44465</v>
      </c>
      <c r="AH4655">
        <v>3844.88</v>
      </c>
    </row>
    <row r="4656" spans="32:34">
      <c r="AF4656" s="367">
        <f t="shared" si="72"/>
        <v>44440</v>
      </c>
      <c r="AG4656" s="372">
        <v>44466</v>
      </c>
      <c r="AH4656">
        <v>3844.88</v>
      </c>
    </row>
    <row r="4657" spans="32:34">
      <c r="AF4657" s="367">
        <f t="shared" si="72"/>
        <v>44440</v>
      </c>
      <c r="AG4657" s="372">
        <v>44467</v>
      </c>
      <c r="AH4657">
        <v>3837.91</v>
      </c>
    </row>
    <row r="4658" spans="32:34">
      <c r="AF4658" s="367">
        <f t="shared" si="72"/>
        <v>44440</v>
      </c>
      <c r="AG4658" s="372">
        <v>44468</v>
      </c>
      <c r="AH4658">
        <v>3841.94</v>
      </c>
    </row>
    <row r="4659" spans="32:34">
      <c r="AF4659" s="367">
        <f t="shared" si="72"/>
        <v>44440</v>
      </c>
      <c r="AG4659" s="372">
        <v>44469</v>
      </c>
      <c r="AH4659">
        <v>3834.68</v>
      </c>
    </row>
    <row r="4660" spans="32:34">
      <c r="AF4660" s="367">
        <f t="shared" si="72"/>
        <v>44470</v>
      </c>
      <c r="AG4660" s="372">
        <v>44470</v>
      </c>
      <c r="AH4660">
        <v>3812.77</v>
      </c>
    </row>
    <row r="4661" spans="32:34">
      <c r="AF4661" s="367">
        <f t="shared" si="72"/>
        <v>44470</v>
      </c>
      <c r="AG4661" s="372">
        <v>44471</v>
      </c>
      <c r="AH4661">
        <v>3781.35</v>
      </c>
    </row>
    <row r="4662" spans="32:34">
      <c r="AF4662" s="367">
        <f t="shared" si="72"/>
        <v>44470</v>
      </c>
      <c r="AG4662" s="372">
        <v>44472</v>
      </c>
      <c r="AH4662">
        <v>3781.35</v>
      </c>
    </row>
    <row r="4663" spans="32:34">
      <c r="AF4663" s="367">
        <f t="shared" si="72"/>
        <v>44470</v>
      </c>
      <c r="AG4663" s="372">
        <v>44473</v>
      </c>
      <c r="AH4663">
        <v>3781.35</v>
      </c>
    </row>
    <row r="4664" spans="32:34">
      <c r="AF4664" s="367">
        <f t="shared" si="72"/>
        <v>44470</v>
      </c>
      <c r="AG4664" s="372">
        <v>44474</v>
      </c>
      <c r="AH4664">
        <v>3786.05</v>
      </c>
    </row>
    <row r="4665" spans="32:34">
      <c r="AF4665" s="367">
        <f t="shared" si="72"/>
        <v>44470</v>
      </c>
      <c r="AG4665" s="372">
        <v>44475</v>
      </c>
      <c r="AH4665">
        <v>3796.3</v>
      </c>
    </row>
    <row r="4666" spans="32:34">
      <c r="AF4666" s="367">
        <f t="shared" si="72"/>
        <v>44470</v>
      </c>
      <c r="AG4666" s="372">
        <v>44476</v>
      </c>
      <c r="AH4666">
        <v>3788.03</v>
      </c>
    </row>
    <row r="4667" spans="32:34">
      <c r="AF4667" s="367">
        <f t="shared" si="72"/>
        <v>44470</v>
      </c>
      <c r="AG4667" s="372">
        <v>44477</v>
      </c>
      <c r="AH4667">
        <v>3772.44</v>
      </c>
    </row>
    <row r="4668" spans="32:34">
      <c r="AF4668" s="367">
        <f t="shared" si="72"/>
        <v>44470</v>
      </c>
      <c r="AG4668" s="372">
        <v>44478</v>
      </c>
      <c r="AH4668">
        <v>3765.8</v>
      </c>
    </row>
    <row r="4669" spans="32:34">
      <c r="AF4669" s="367">
        <f t="shared" si="72"/>
        <v>44470</v>
      </c>
      <c r="AG4669" s="372">
        <v>44479</v>
      </c>
      <c r="AH4669">
        <v>3765.8</v>
      </c>
    </row>
    <row r="4670" spans="32:34">
      <c r="AF4670" s="367">
        <f t="shared" si="72"/>
        <v>44470</v>
      </c>
      <c r="AG4670" s="372">
        <v>44480</v>
      </c>
      <c r="AH4670">
        <v>3765.8</v>
      </c>
    </row>
    <row r="4671" spans="32:34">
      <c r="AF4671" s="367">
        <f t="shared" si="72"/>
        <v>44470</v>
      </c>
      <c r="AG4671" s="372">
        <v>44481</v>
      </c>
      <c r="AH4671">
        <v>3765.8</v>
      </c>
    </row>
    <row r="4672" spans="32:34">
      <c r="AF4672" s="367">
        <f t="shared" si="72"/>
        <v>44470</v>
      </c>
      <c r="AG4672" s="372">
        <v>44482</v>
      </c>
      <c r="AH4672">
        <v>3738.48</v>
      </c>
    </row>
    <row r="4673" spans="32:34">
      <c r="AF4673" s="367">
        <f t="shared" si="72"/>
        <v>44470</v>
      </c>
      <c r="AG4673" s="372">
        <v>44483</v>
      </c>
      <c r="AH4673">
        <v>3725.75</v>
      </c>
    </row>
    <row r="4674" spans="32:34">
      <c r="AF4674" s="367">
        <f t="shared" si="72"/>
        <v>44470</v>
      </c>
      <c r="AG4674" s="372">
        <v>44484</v>
      </c>
      <c r="AH4674">
        <v>3755.29</v>
      </c>
    </row>
    <row r="4675" spans="32:34">
      <c r="AF4675" s="367">
        <f t="shared" si="72"/>
        <v>44470</v>
      </c>
      <c r="AG4675" s="372">
        <v>44485</v>
      </c>
      <c r="AH4675">
        <v>3772.49</v>
      </c>
    </row>
    <row r="4676" spans="32:34">
      <c r="AF4676" s="367">
        <f t="shared" ref="AF4676:AF4739" si="73">+DATE(YEAR(AG4676),MONTH(AG4676),1)</f>
        <v>44470</v>
      </c>
      <c r="AG4676" s="372">
        <v>44486</v>
      </c>
      <c r="AH4676">
        <v>3772.49</v>
      </c>
    </row>
    <row r="4677" spans="32:34">
      <c r="AF4677" s="367">
        <f t="shared" si="73"/>
        <v>44470</v>
      </c>
      <c r="AG4677" s="372">
        <v>44487</v>
      </c>
      <c r="AH4677">
        <v>3772.49</v>
      </c>
    </row>
    <row r="4678" spans="32:34">
      <c r="AF4678" s="367">
        <f t="shared" si="73"/>
        <v>44470</v>
      </c>
      <c r="AG4678" s="372">
        <v>44488</v>
      </c>
      <c r="AH4678">
        <v>3772.49</v>
      </c>
    </row>
    <row r="4679" spans="32:34">
      <c r="AF4679" s="367">
        <f t="shared" si="73"/>
        <v>44470</v>
      </c>
      <c r="AG4679" s="372">
        <v>44489</v>
      </c>
      <c r="AH4679">
        <v>3766.94</v>
      </c>
    </row>
    <row r="4680" spans="32:34">
      <c r="AF4680" s="367">
        <f t="shared" si="73"/>
        <v>44470</v>
      </c>
      <c r="AG4680" s="372">
        <v>44490</v>
      </c>
      <c r="AH4680">
        <v>3770.58</v>
      </c>
    </row>
    <row r="4681" spans="32:34">
      <c r="AF4681" s="367">
        <f t="shared" si="73"/>
        <v>44470</v>
      </c>
      <c r="AG4681" s="372">
        <v>44491</v>
      </c>
      <c r="AH4681">
        <v>3783.3</v>
      </c>
    </row>
    <row r="4682" spans="32:34">
      <c r="AF4682" s="367">
        <f t="shared" si="73"/>
        <v>44470</v>
      </c>
      <c r="AG4682" s="372">
        <v>44492</v>
      </c>
      <c r="AH4682">
        <v>3780.38</v>
      </c>
    </row>
    <row r="4683" spans="32:34">
      <c r="AF4683" s="367">
        <f t="shared" si="73"/>
        <v>44470</v>
      </c>
      <c r="AG4683" s="372">
        <v>44493</v>
      </c>
      <c r="AH4683">
        <v>3780.38</v>
      </c>
    </row>
    <row r="4684" spans="32:34">
      <c r="AF4684" s="367">
        <f t="shared" si="73"/>
        <v>44470</v>
      </c>
      <c r="AG4684" s="372">
        <v>44494</v>
      </c>
      <c r="AH4684">
        <v>3780.38</v>
      </c>
    </row>
    <row r="4685" spans="32:34">
      <c r="AF4685" s="367">
        <f t="shared" si="73"/>
        <v>44470</v>
      </c>
      <c r="AG4685" s="372">
        <v>44495</v>
      </c>
      <c r="AH4685">
        <v>3769.98</v>
      </c>
    </row>
    <row r="4686" spans="32:34">
      <c r="AF4686" s="367">
        <f t="shared" si="73"/>
        <v>44470</v>
      </c>
      <c r="AG4686" s="372">
        <v>44496</v>
      </c>
      <c r="AH4686">
        <v>3774.46</v>
      </c>
    </row>
    <row r="4687" spans="32:34">
      <c r="AF4687" s="367">
        <f t="shared" si="73"/>
        <v>44470</v>
      </c>
      <c r="AG4687" s="372">
        <v>44497</v>
      </c>
      <c r="AH4687">
        <v>3761.21</v>
      </c>
    </row>
    <row r="4688" spans="32:34">
      <c r="AF4688" s="367">
        <f t="shared" si="73"/>
        <v>44470</v>
      </c>
      <c r="AG4688" s="372">
        <v>44498</v>
      </c>
      <c r="AH4688">
        <v>3766.1</v>
      </c>
    </row>
    <row r="4689" spans="32:34">
      <c r="AF4689" s="367">
        <f t="shared" si="73"/>
        <v>44470</v>
      </c>
      <c r="AG4689" s="372">
        <v>44499</v>
      </c>
      <c r="AH4689">
        <v>3784.44</v>
      </c>
    </row>
    <row r="4690" spans="32:34">
      <c r="AF4690" s="367">
        <f t="shared" si="73"/>
        <v>44470</v>
      </c>
      <c r="AG4690" s="372">
        <v>44500</v>
      </c>
      <c r="AH4690">
        <v>3784.44</v>
      </c>
    </row>
    <row r="4691" spans="32:34">
      <c r="AF4691" s="367">
        <f t="shared" si="73"/>
        <v>44501</v>
      </c>
      <c r="AG4691" s="372">
        <v>44501</v>
      </c>
      <c r="AH4691">
        <v>3784.44</v>
      </c>
    </row>
    <row r="4692" spans="32:34">
      <c r="AF4692" s="367">
        <f t="shared" si="73"/>
        <v>44501</v>
      </c>
      <c r="AG4692" s="372">
        <v>44502</v>
      </c>
      <c r="AH4692">
        <v>3784.44</v>
      </c>
    </row>
    <row r="4693" spans="32:34">
      <c r="AF4693" s="367">
        <f t="shared" si="73"/>
        <v>44501</v>
      </c>
      <c r="AG4693" s="372">
        <v>44503</v>
      </c>
      <c r="AH4693">
        <v>3778.69</v>
      </c>
    </row>
    <row r="4694" spans="32:34">
      <c r="AF4694" s="367">
        <f t="shared" si="73"/>
        <v>44501</v>
      </c>
      <c r="AG4694" s="372">
        <v>44504</v>
      </c>
      <c r="AH4694">
        <v>3837.84</v>
      </c>
    </row>
    <row r="4695" spans="32:34">
      <c r="AF4695" s="367">
        <f t="shared" si="73"/>
        <v>44501</v>
      </c>
      <c r="AG4695" s="372">
        <v>44505</v>
      </c>
      <c r="AH4695">
        <v>3847.4</v>
      </c>
    </row>
    <row r="4696" spans="32:34">
      <c r="AF4696" s="367">
        <f t="shared" si="73"/>
        <v>44501</v>
      </c>
      <c r="AG4696" s="372">
        <v>44506</v>
      </c>
      <c r="AH4696">
        <v>3881.76</v>
      </c>
    </row>
    <row r="4697" spans="32:34">
      <c r="AF4697" s="367">
        <f t="shared" si="73"/>
        <v>44501</v>
      </c>
      <c r="AG4697" s="372">
        <v>44507</v>
      </c>
      <c r="AH4697">
        <v>3881.76</v>
      </c>
    </row>
    <row r="4698" spans="32:34">
      <c r="AF4698" s="367">
        <f t="shared" si="73"/>
        <v>44501</v>
      </c>
      <c r="AG4698" s="372">
        <v>44508</v>
      </c>
      <c r="AH4698">
        <v>3881.76</v>
      </c>
    </row>
    <row r="4699" spans="32:34">
      <c r="AF4699" s="367">
        <f t="shared" si="73"/>
        <v>44501</v>
      </c>
      <c r="AG4699" s="372">
        <v>44509</v>
      </c>
      <c r="AH4699">
        <v>3874.41</v>
      </c>
    </row>
    <row r="4700" spans="32:34">
      <c r="AF4700" s="367">
        <f t="shared" si="73"/>
        <v>44501</v>
      </c>
      <c r="AG4700" s="372">
        <v>44510</v>
      </c>
      <c r="AH4700">
        <v>3876.86</v>
      </c>
    </row>
    <row r="4701" spans="32:34">
      <c r="AF4701" s="367">
        <f t="shared" si="73"/>
        <v>44501</v>
      </c>
      <c r="AG4701" s="372">
        <v>44511</v>
      </c>
      <c r="AH4701">
        <v>3875.38</v>
      </c>
    </row>
    <row r="4702" spans="32:34">
      <c r="AF4702" s="367">
        <f t="shared" si="73"/>
        <v>44501</v>
      </c>
      <c r="AG4702" s="372">
        <v>44512</v>
      </c>
      <c r="AH4702">
        <v>3875.38</v>
      </c>
    </row>
    <row r="4703" spans="32:34">
      <c r="AF4703" s="367">
        <f t="shared" si="73"/>
        <v>44501</v>
      </c>
      <c r="AG4703" s="372">
        <v>44513</v>
      </c>
      <c r="AH4703">
        <v>3888.53</v>
      </c>
    </row>
    <row r="4704" spans="32:34">
      <c r="AF4704" s="367">
        <f t="shared" si="73"/>
        <v>44501</v>
      </c>
      <c r="AG4704" s="372">
        <v>44514</v>
      </c>
      <c r="AH4704">
        <v>3888.53</v>
      </c>
    </row>
    <row r="4705" spans="32:34">
      <c r="AF4705" s="367">
        <f t="shared" si="73"/>
        <v>44501</v>
      </c>
      <c r="AG4705" s="372">
        <v>44515</v>
      </c>
      <c r="AH4705">
        <v>3888.53</v>
      </c>
    </row>
    <row r="4706" spans="32:34">
      <c r="AF4706" s="367">
        <f t="shared" si="73"/>
        <v>44501</v>
      </c>
      <c r="AG4706" s="372">
        <v>44516</v>
      </c>
      <c r="AH4706">
        <v>3888.53</v>
      </c>
    </row>
    <row r="4707" spans="32:34">
      <c r="AF4707" s="367">
        <f t="shared" si="73"/>
        <v>44501</v>
      </c>
      <c r="AG4707" s="372">
        <v>44517</v>
      </c>
      <c r="AH4707">
        <v>3898.84</v>
      </c>
    </row>
    <row r="4708" spans="32:34">
      <c r="AF4708" s="367">
        <f t="shared" si="73"/>
        <v>44501</v>
      </c>
      <c r="AG4708" s="372">
        <v>44518</v>
      </c>
      <c r="AH4708">
        <v>3907.95</v>
      </c>
    </row>
    <row r="4709" spans="32:34">
      <c r="AF4709" s="367">
        <f t="shared" si="73"/>
        <v>44501</v>
      </c>
      <c r="AG4709" s="372">
        <v>44519</v>
      </c>
      <c r="AH4709">
        <v>3943.43</v>
      </c>
    </row>
    <row r="4710" spans="32:34">
      <c r="AF4710" s="367">
        <f t="shared" si="73"/>
        <v>44501</v>
      </c>
      <c r="AG4710" s="372">
        <v>44520</v>
      </c>
      <c r="AH4710">
        <v>3923.53</v>
      </c>
    </row>
    <row r="4711" spans="32:34">
      <c r="AF4711" s="367">
        <f t="shared" si="73"/>
        <v>44501</v>
      </c>
      <c r="AG4711" s="372">
        <v>44521</v>
      </c>
      <c r="AH4711">
        <v>3923.53</v>
      </c>
    </row>
    <row r="4712" spans="32:34">
      <c r="AF4712" s="367">
        <f t="shared" si="73"/>
        <v>44501</v>
      </c>
      <c r="AG4712" s="372">
        <v>44522</v>
      </c>
      <c r="AH4712">
        <v>3923.53</v>
      </c>
    </row>
    <row r="4713" spans="32:34">
      <c r="AF4713" s="367">
        <f t="shared" si="73"/>
        <v>44501</v>
      </c>
      <c r="AG4713" s="372">
        <v>44523</v>
      </c>
      <c r="AH4713">
        <v>3913.26</v>
      </c>
    </row>
    <row r="4714" spans="32:34">
      <c r="AF4714" s="367">
        <f t="shared" si="73"/>
        <v>44501</v>
      </c>
      <c r="AG4714" s="372">
        <v>44524</v>
      </c>
      <c r="AH4714">
        <v>3944.37</v>
      </c>
    </row>
    <row r="4715" spans="32:34">
      <c r="AF4715" s="367">
        <f t="shared" si="73"/>
        <v>44501</v>
      </c>
      <c r="AG4715" s="372">
        <v>44525</v>
      </c>
      <c r="AH4715">
        <v>3969.49</v>
      </c>
    </row>
    <row r="4716" spans="32:34">
      <c r="AF4716" s="367">
        <f t="shared" si="73"/>
        <v>44501</v>
      </c>
      <c r="AG4716" s="372">
        <v>44526</v>
      </c>
      <c r="AH4716">
        <v>3969.49</v>
      </c>
    </row>
    <row r="4717" spans="32:34">
      <c r="AF4717" s="367">
        <f t="shared" si="73"/>
        <v>44501</v>
      </c>
      <c r="AG4717" s="372">
        <v>44527</v>
      </c>
      <c r="AH4717">
        <v>4008.13</v>
      </c>
    </row>
    <row r="4718" spans="32:34">
      <c r="AF4718" s="367">
        <f t="shared" si="73"/>
        <v>44501</v>
      </c>
      <c r="AG4718" s="372">
        <v>44528</v>
      </c>
      <c r="AH4718">
        <v>4008.13</v>
      </c>
    </row>
    <row r="4719" spans="32:34">
      <c r="AF4719" s="367">
        <f t="shared" si="73"/>
        <v>44501</v>
      </c>
      <c r="AG4719" s="372">
        <v>44529</v>
      </c>
      <c r="AH4719">
        <v>4008.13</v>
      </c>
    </row>
    <row r="4720" spans="32:34">
      <c r="AF4720" s="367">
        <f t="shared" si="73"/>
        <v>44501</v>
      </c>
      <c r="AG4720" s="372">
        <v>44530</v>
      </c>
      <c r="AH4720">
        <v>4010.98</v>
      </c>
    </row>
    <row r="4721" spans="32:34">
      <c r="AF4721" s="367">
        <f t="shared" si="73"/>
        <v>44531</v>
      </c>
      <c r="AG4721" s="372">
        <v>44531</v>
      </c>
      <c r="AH4721">
        <v>4004.54</v>
      </c>
    </row>
    <row r="4722" spans="32:34">
      <c r="AF4722" s="367">
        <f t="shared" si="73"/>
        <v>44531</v>
      </c>
      <c r="AG4722" s="372">
        <v>44532</v>
      </c>
      <c r="AH4722">
        <v>3953.26</v>
      </c>
    </row>
    <row r="4723" spans="32:34">
      <c r="AF4723" s="367">
        <f t="shared" si="73"/>
        <v>44531</v>
      </c>
      <c r="AG4723" s="372">
        <v>44533</v>
      </c>
      <c r="AH4723">
        <v>3945.18</v>
      </c>
    </row>
    <row r="4724" spans="32:34">
      <c r="AF4724" s="367">
        <f t="shared" si="73"/>
        <v>44531</v>
      </c>
      <c r="AG4724" s="372">
        <v>44534</v>
      </c>
      <c r="AH4724">
        <v>3948.33</v>
      </c>
    </row>
    <row r="4725" spans="32:34">
      <c r="AF4725" s="367">
        <f t="shared" si="73"/>
        <v>44531</v>
      </c>
      <c r="AG4725" s="372">
        <v>44535</v>
      </c>
      <c r="AH4725">
        <v>3948.33</v>
      </c>
    </row>
    <row r="4726" spans="32:34">
      <c r="AF4726" s="367">
        <f t="shared" si="73"/>
        <v>44531</v>
      </c>
      <c r="AG4726" s="372">
        <v>44536</v>
      </c>
      <c r="AH4726">
        <v>3948.33</v>
      </c>
    </row>
    <row r="4727" spans="32:34">
      <c r="AF4727" s="367">
        <f t="shared" si="73"/>
        <v>44531</v>
      </c>
      <c r="AG4727" s="372">
        <v>44537</v>
      </c>
      <c r="AH4727">
        <v>3944</v>
      </c>
    </row>
    <row r="4728" spans="32:34">
      <c r="AF4728" s="367">
        <f t="shared" si="73"/>
        <v>44531</v>
      </c>
      <c r="AG4728" s="372">
        <v>44538</v>
      </c>
      <c r="AH4728">
        <v>3906.1</v>
      </c>
    </row>
    <row r="4729" spans="32:34">
      <c r="AF4729" s="367">
        <f t="shared" si="73"/>
        <v>44531</v>
      </c>
      <c r="AG4729" s="372">
        <v>44539</v>
      </c>
      <c r="AH4729">
        <v>3906.1</v>
      </c>
    </row>
    <row r="4730" spans="32:34">
      <c r="AF4730" s="367">
        <f t="shared" si="73"/>
        <v>44531</v>
      </c>
      <c r="AG4730" s="372">
        <v>44540</v>
      </c>
      <c r="AH4730">
        <v>3899.87</v>
      </c>
    </row>
    <row r="4731" spans="32:34">
      <c r="AF4731" s="367">
        <f t="shared" si="73"/>
        <v>44531</v>
      </c>
      <c r="AG4731" s="372">
        <v>44541</v>
      </c>
      <c r="AH4731">
        <v>3887.71</v>
      </c>
    </row>
    <row r="4732" spans="32:34">
      <c r="AF4732" s="367">
        <f t="shared" si="73"/>
        <v>44531</v>
      </c>
      <c r="AG4732" s="372">
        <v>44542</v>
      </c>
      <c r="AH4732">
        <v>3887.71</v>
      </c>
    </row>
    <row r="4733" spans="32:34">
      <c r="AF4733" s="367">
        <f t="shared" si="73"/>
        <v>44531</v>
      </c>
      <c r="AG4733" s="372">
        <v>44543</v>
      </c>
      <c r="AH4733">
        <v>3887.71</v>
      </c>
    </row>
    <row r="4734" spans="32:34">
      <c r="AF4734" s="367">
        <f t="shared" si="73"/>
        <v>44531</v>
      </c>
      <c r="AG4734" s="372">
        <v>44544</v>
      </c>
      <c r="AH4734">
        <v>3886.87</v>
      </c>
    </row>
    <row r="4735" spans="32:34">
      <c r="AF4735" s="367">
        <f t="shared" si="73"/>
        <v>44531</v>
      </c>
      <c r="AG4735" s="372">
        <v>44545</v>
      </c>
      <c r="AH4735">
        <v>3936.41</v>
      </c>
    </row>
    <row r="4736" spans="32:34">
      <c r="AF4736" s="367">
        <f t="shared" si="73"/>
        <v>44531</v>
      </c>
      <c r="AG4736" s="372">
        <v>44546</v>
      </c>
      <c r="AH4736">
        <v>3990.27</v>
      </c>
    </row>
    <row r="4737" spans="32:34">
      <c r="AF4737" s="367">
        <f t="shared" si="73"/>
        <v>44531</v>
      </c>
      <c r="AG4737" s="372">
        <v>44547</v>
      </c>
      <c r="AH4737">
        <v>4002.97</v>
      </c>
    </row>
    <row r="4738" spans="32:34">
      <c r="AF4738" s="367">
        <f t="shared" si="73"/>
        <v>44531</v>
      </c>
      <c r="AG4738" s="372">
        <v>44548</v>
      </c>
      <c r="AH4738">
        <v>3999.85</v>
      </c>
    </row>
    <row r="4739" spans="32:34">
      <c r="AF4739" s="367">
        <f t="shared" si="73"/>
        <v>44531</v>
      </c>
      <c r="AG4739" s="372">
        <v>44549</v>
      </c>
      <c r="AH4739">
        <v>3999.85</v>
      </c>
    </row>
    <row r="4740" spans="32:34">
      <c r="AF4740" s="367">
        <f t="shared" ref="AF4740:AF4803" si="74">+DATE(YEAR(AG4740),MONTH(AG4740),1)</f>
        <v>44531</v>
      </c>
      <c r="AG4740" s="372">
        <v>44550</v>
      </c>
      <c r="AH4740">
        <v>3999.85</v>
      </c>
    </row>
    <row r="4741" spans="32:34">
      <c r="AF4741" s="367">
        <f t="shared" si="74"/>
        <v>44531</v>
      </c>
      <c r="AG4741" s="372">
        <v>44551</v>
      </c>
      <c r="AH4741">
        <v>4002.12</v>
      </c>
    </row>
    <row r="4742" spans="32:34">
      <c r="AF4742" s="367">
        <f t="shared" si="74"/>
        <v>44531</v>
      </c>
      <c r="AG4742" s="372">
        <v>44552</v>
      </c>
      <c r="AH4742">
        <v>3996.28</v>
      </c>
    </row>
    <row r="4743" spans="32:34">
      <c r="AF4743" s="367">
        <f t="shared" si="74"/>
        <v>44531</v>
      </c>
      <c r="AG4743" s="372">
        <v>44553</v>
      </c>
      <c r="AH4743">
        <v>3997.71</v>
      </c>
    </row>
    <row r="4744" spans="32:34">
      <c r="AF4744" s="367">
        <f t="shared" si="74"/>
        <v>44531</v>
      </c>
      <c r="AG4744" s="372">
        <v>44554</v>
      </c>
      <c r="AH4744">
        <v>3997.09</v>
      </c>
    </row>
    <row r="4745" spans="32:34">
      <c r="AF4745" s="367">
        <f t="shared" si="74"/>
        <v>44531</v>
      </c>
      <c r="AG4745" s="372">
        <v>44555</v>
      </c>
      <c r="AH4745">
        <v>3994.15</v>
      </c>
    </row>
    <row r="4746" spans="32:34">
      <c r="AF4746" s="367">
        <f t="shared" si="74"/>
        <v>44531</v>
      </c>
      <c r="AG4746" s="372">
        <v>44556</v>
      </c>
      <c r="AH4746">
        <v>3994.15</v>
      </c>
    </row>
    <row r="4747" spans="32:34">
      <c r="AF4747" s="367">
        <f t="shared" si="74"/>
        <v>44531</v>
      </c>
      <c r="AG4747" s="372">
        <v>44557</v>
      </c>
      <c r="AH4747">
        <v>3994.15</v>
      </c>
    </row>
    <row r="4748" spans="32:34">
      <c r="AF4748" s="367">
        <f t="shared" si="74"/>
        <v>44531</v>
      </c>
      <c r="AG4748" s="372">
        <v>44558</v>
      </c>
      <c r="AH4748">
        <v>3989.41</v>
      </c>
    </row>
    <row r="4749" spans="32:34">
      <c r="AF4749" s="367">
        <f t="shared" si="74"/>
        <v>44531</v>
      </c>
      <c r="AG4749" s="372">
        <v>44559</v>
      </c>
      <c r="AH4749">
        <v>4004</v>
      </c>
    </row>
    <row r="4750" spans="32:34">
      <c r="AF4750" s="367">
        <f t="shared" si="74"/>
        <v>44531</v>
      </c>
      <c r="AG4750" s="372">
        <v>44560</v>
      </c>
      <c r="AH4750">
        <v>4023.68</v>
      </c>
    </row>
    <row r="4751" spans="32:34">
      <c r="AF4751" s="367">
        <f t="shared" si="74"/>
        <v>44531</v>
      </c>
      <c r="AG4751" s="372">
        <v>44561</v>
      </c>
      <c r="AH4751">
        <v>3981.16</v>
      </c>
    </row>
    <row r="4752" spans="32:34">
      <c r="AF4752" s="367">
        <f t="shared" si="74"/>
        <v>44562</v>
      </c>
      <c r="AG4752" s="372">
        <v>44562</v>
      </c>
      <c r="AH4752">
        <v>3981.16</v>
      </c>
    </row>
    <row r="4753" spans="32:34">
      <c r="AF4753" s="367">
        <f t="shared" si="74"/>
        <v>44562</v>
      </c>
      <c r="AG4753" s="372">
        <v>44563</v>
      </c>
      <c r="AH4753">
        <v>3981.16</v>
      </c>
    </row>
    <row r="4754" spans="32:34">
      <c r="AF4754" s="367">
        <f t="shared" si="74"/>
        <v>44562</v>
      </c>
      <c r="AG4754" s="372">
        <v>44564</v>
      </c>
      <c r="AH4754">
        <v>3981.16</v>
      </c>
    </row>
    <row r="4755" spans="32:34">
      <c r="AF4755" s="367">
        <f t="shared" si="74"/>
        <v>44562</v>
      </c>
      <c r="AG4755" s="372">
        <v>44565</v>
      </c>
      <c r="AH4755">
        <v>4082.75</v>
      </c>
    </row>
    <row r="4756" spans="32:34">
      <c r="AF4756" s="367">
        <f t="shared" si="74"/>
        <v>44562</v>
      </c>
      <c r="AG4756" s="372">
        <v>44566</v>
      </c>
      <c r="AH4756">
        <v>4084.11</v>
      </c>
    </row>
    <row r="4757" spans="32:34">
      <c r="AF4757" s="367">
        <f t="shared" si="74"/>
        <v>44562</v>
      </c>
      <c r="AG4757" s="372">
        <v>44567</v>
      </c>
      <c r="AH4757">
        <v>4042.36</v>
      </c>
    </row>
    <row r="4758" spans="32:34">
      <c r="AF4758" s="367">
        <f t="shared" si="74"/>
        <v>44562</v>
      </c>
      <c r="AG4758" s="372">
        <v>44568</v>
      </c>
      <c r="AH4758">
        <v>4039.31</v>
      </c>
    </row>
    <row r="4759" spans="32:34">
      <c r="AF4759" s="367">
        <f t="shared" si="74"/>
        <v>44562</v>
      </c>
      <c r="AG4759" s="372">
        <v>44569</v>
      </c>
      <c r="AH4759">
        <v>4043.46</v>
      </c>
    </row>
    <row r="4760" spans="32:34">
      <c r="AF4760" s="367">
        <f t="shared" si="74"/>
        <v>44562</v>
      </c>
      <c r="AG4760" s="372">
        <v>44570</v>
      </c>
      <c r="AH4760">
        <v>4043.46</v>
      </c>
    </row>
    <row r="4761" spans="32:34">
      <c r="AF4761" s="367">
        <f t="shared" si="74"/>
        <v>44562</v>
      </c>
      <c r="AG4761" s="372">
        <v>44571</v>
      </c>
      <c r="AH4761">
        <v>4043.46</v>
      </c>
    </row>
    <row r="4762" spans="32:34">
      <c r="AF4762" s="367">
        <f t="shared" si="74"/>
        <v>44562</v>
      </c>
      <c r="AG4762" s="372">
        <v>44572</v>
      </c>
      <c r="AH4762">
        <v>4043.46</v>
      </c>
    </row>
    <row r="4763" spans="32:34">
      <c r="AF4763" s="367">
        <f t="shared" si="74"/>
        <v>44562</v>
      </c>
      <c r="AG4763" s="372">
        <v>44573</v>
      </c>
      <c r="AH4763">
        <v>4011.65</v>
      </c>
    </row>
    <row r="4764" spans="32:34">
      <c r="AF4764" s="367">
        <f t="shared" si="74"/>
        <v>44562</v>
      </c>
      <c r="AG4764" s="372">
        <v>44574</v>
      </c>
      <c r="AH4764">
        <v>3970.08</v>
      </c>
    </row>
    <row r="4765" spans="32:34">
      <c r="AF4765" s="367">
        <f t="shared" si="74"/>
        <v>44562</v>
      </c>
      <c r="AG4765" s="372">
        <v>44575</v>
      </c>
      <c r="AH4765">
        <v>3950.4</v>
      </c>
    </row>
    <row r="4766" spans="32:34">
      <c r="AF4766" s="367">
        <f t="shared" si="74"/>
        <v>44562</v>
      </c>
      <c r="AG4766" s="372">
        <v>44576</v>
      </c>
      <c r="AH4766">
        <v>3993.65</v>
      </c>
    </row>
    <row r="4767" spans="32:34">
      <c r="AF4767" s="367">
        <f t="shared" si="74"/>
        <v>44562</v>
      </c>
      <c r="AG4767" s="372">
        <v>44577</v>
      </c>
      <c r="AH4767">
        <v>3993.65</v>
      </c>
    </row>
    <row r="4768" spans="32:34">
      <c r="AF4768" s="367">
        <f t="shared" si="74"/>
        <v>44562</v>
      </c>
      <c r="AG4768" s="372">
        <v>44578</v>
      </c>
      <c r="AH4768">
        <v>3993.65</v>
      </c>
    </row>
    <row r="4769" spans="32:34">
      <c r="AF4769" s="367">
        <f t="shared" si="74"/>
        <v>44562</v>
      </c>
      <c r="AG4769" s="372">
        <v>44579</v>
      </c>
      <c r="AH4769">
        <v>3993.65</v>
      </c>
    </row>
    <row r="4770" spans="32:34">
      <c r="AF4770" s="367">
        <f t="shared" si="74"/>
        <v>44562</v>
      </c>
      <c r="AG4770" s="372">
        <v>44580</v>
      </c>
      <c r="AH4770">
        <v>4033.37</v>
      </c>
    </row>
    <row r="4771" spans="32:34">
      <c r="AF4771" s="367">
        <f t="shared" si="74"/>
        <v>44562</v>
      </c>
      <c r="AG4771" s="372">
        <v>44581</v>
      </c>
      <c r="AH4771">
        <v>4003.95</v>
      </c>
    </row>
    <row r="4772" spans="32:34">
      <c r="AF4772" s="367">
        <f t="shared" si="74"/>
        <v>44562</v>
      </c>
      <c r="AG4772" s="372">
        <v>44582</v>
      </c>
      <c r="AH4772">
        <v>3980.8</v>
      </c>
    </row>
    <row r="4773" spans="32:34">
      <c r="AF4773" s="367">
        <f t="shared" si="74"/>
        <v>44562</v>
      </c>
      <c r="AG4773" s="372">
        <v>44583</v>
      </c>
      <c r="AH4773">
        <v>3964.3</v>
      </c>
    </row>
    <row r="4774" spans="32:34">
      <c r="AF4774" s="367">
        <f t="shared" si="74"/>
        <v>44562</v>
      </c>
      <c r="AG4774" s="372">
        <v>44584</v>
      </c>
      <c r="AH4774">
        <v>3964.3</v>
      </c>
    </row>
    <row r="4775" spans="32:34">
      <c r="AF4775" s="367">
        <f t="shared" si="74"/>
        <v>44562</v>
      </c>
      <c r="AG4775" s="372">
        <v>44585</v>
      </c>
      <c r="AH4775">
        <v>3964.3</v>
      </c>
    </row>
    <row r="4776" spans="32:34">
      <c r="AF4776" s="367">
        <f t="shared" si="74"/>
        <v>44562</v>
      </c>
      <c r="AG4776" s="372">
        <v>44586</v>
      </c>
      <c r="AH4776">
        <v>3977.51</v>
      </c>
    </row>
    <row r="4777" spans="32:34">
      <c r="AF4777" s="367">
        <f t="shared" si="74"/>
        <v>44562</v>
      </c>
      <c r="AG4777" s="372">
        <v>44587</v>
      </c>
      <c r="AH4777">
        <v>3987.32</v>
      </c>
    </row>
    <row r="4778" spans="32:34">
      <c r="AF4778" s="367">
        <f t="shared" si="74"/>
        <v>44562</v>
      </c>
      <c r="AG4778" s="372">
        <v>44588</v>
      </c>
      <c r="AH4778">
        <v>3947.83</v>
      </c>
    </row>
    <row r="4779" spans="32:34">
      <c r="AF4779" s="367">
        <f t="shared" si="74"/>
        <v>44562</v>
      </c>
      <c r="AG4779" s="372">
        <v>44589</v>
      </c>
      <c r="AH4779">
        <v>3944.04</v>
      </c>
    </row>
    <row r="4780" spans="32:34">
      <c r="AF4780" s="367">
        <f t="shared" si="74"/>
        <v>44562</v>
      </c>
      <c r="AG4780" s="372">
        <v>44590</v>
      </c>
      <c r="AH4780">
        <v>3982.6</v>
      </c>
    </row>
    <row r="4781" spans="32:34">
      <c r="AF4781" s="367">
        <f t="shared" si="74"/>
        <v>44562</v>
      </c>
      <c r="AG4781" s="372">
        <v>44591</v>
      </c>
      <c r="AH4781">
        <v>3982.6</v>
      </c>
    </row>
    <row r="4782" spans="32:34">
      <c r="AF4782" s="367">
        <f t="shared" si="74"/>
        <v>44562</v>
      </c>
      <c r="AG4782" s="372">
        <v>44592</v>
      </c>
      <c r="AH4782">
        <v>3982.6</v>
      </c>
    </row>
    <row r="4783" spans="32:34">
      <c r="AF4783" s="367">
        <f t="shared" si="74"/>
        <v>44593</v>
      </c>
      <c r="AG4783" s="372">
        <v>44593</v>
      </c>
      <c r="AH4783">
        <v>3942.73</v>
      </c>
    </row>
    <row r="4784" spans="32:34">
      <c r="AF4784" s="367">
        <f t="shared" si="74"/>
        <v>44593</v>
      </c>
      <c r="AG4784" s="372">
        <v>44594</v>
      </c>
      <c r="AH4784">
        <v>3923.61</v>
      </c>
    </row>
    <row r="4785" spans="32:34">
      <c r="AF4785" s="367">
        <f t="shared" si="74"/>
        <v>44593</v>
      </c>
      <c r="AG4785" s="372">
        <v>44595</v>
      </c>
      <c r="AH4785">
        <v>3928.05</v>
      </c>
    </row>
    <row r="4786" spans="32:34">
      <c r="AF4786" s="367">
        <f t="shared" si="74"/>
        <v>44593</v>
      </c>
      <c r="AG4786" s="372">
        <v>44596</v>
      </c>
      <c r="AH4786">
        <v>3951.96</v>
      </c>
    </row>
    <row r="4787" spans="32:34">
      <c r="AF4787" s="367">
        <f t="shared" si="74"/>
        <v>44593</v>
      </c>
      <c r="AG4787" s="372">
        <v>44597</v>
      </c>
      <c r="AH4787">
        <v>3962.68</v>
      </c>
    </row>
    <row r="4788" spans="32:34">
      <c r="AF4788" s="367">
        <f t="shared" si="74"/>
        <v>44593</v>
      </c>
      <c r="AG4788" s="372">
        <v>44598</v>
      </c>
      <c r="AH4788">
        <v>3962.68</v>
      </c>
    </row>
    <row r="4789" spans="32:34">
      <c r="AF4789" s="367">
        <f t="shared" si="74"/>
        <v>44593</v>
      </c>
      <c r="AG4789" s="372">
        <v>44599</v>
      </c>
      <c r="AH4789">
        <v>3962.68</v>
      </c>
    </row>
    <row r="4790" spans="32:34">
      <c r="AF4790" s="367">
        <f t="shared" si="74"/>
        <v>44593</v>
      </c>
      <c r="AG4790" s="372">
        <v>44600</v>
      </c>
      <c r="AH4790">
        <v>3963.84</v>
      </c>
    </row>
    <row r="4791" spans="32:34">
      <c r="AF4791" s="367">
        <f t="shared" si="74"/>
        <v>44593</v>
      </c>
      <c r="AG4791" s="372">
        <v>44601</v>
      </c>
      <c r="AH4791">
        <v>3965.41</v>
      </c>
    </row>
    <row r="4792" spans="32:34">
      <c r="AF4792" s="367">
        <f t="shared" si="74"/>
        <v>44593</v>
      </c>
      <c r="AG4792" s="372">
        <v>44602</v>
      </c>
      <c r="AH4792">
        <v>3939.31</v>
      </c>
    </row>
    <row r="4793" spans="32:34">
      <c r="AF4793" s="367">
        <f t="shared" si="74"/>
        <v>44593</v>
      </c>
      <c r="AG4793" s="372">
        <v>44603</v>
      </c>
      <c r="AH4793">
        <v>3917.75</v>
      </c>
    </row>
    <row r="4794" spans="32:34">
      <c r="AF4794" s="367">
        <f t="shared" si="74"/>
        <v>44593</v>
      </c>
      <c r="AG4794" s="372">
        <v>44604</v>
      </c>
      <c r="AH4794">
        <v>3917.52</v>
      </c>
    </row>
    <row r="4795" spans="32:34">
      <c r="AF4795" s="367">
        <f t="shared" si="74"/>
        <v>44593</v>
      </c>
      <c r="AG4795" s="372">
        <v>44605</v>
      </c>
      <c r="AH4795">
        <v>3917.52</v>
      </c>
    </row>
    <row r="4796" spans="32:34">
      <c r="AF4796" s="367">
        <f t="shared" si="74"/>
        <v>44593</v>
      </c>
      <c r="AG4796" s="372">
        <v>44606</v>
      </c>
      <c r="AH4796">
        <v>3917.52</v>
      </c>
    </row>
    <row r="4797" spans="32:34">
      <c r="AF4797" s="367">
        <f t="shared" si="74"/>
        <v>44593</v>
      </c>
      <c r="AG4797" s="372">
        <v>44607</v>
      </c>
      <c r="AH4797">
        <v>3938.97</v>
      </c>
    </row>
    <row r="4798" spans="32:34">
      <c r="AF4798" s="367">
        <f t="shared" si="74"/>
        <v>44593</v>
      </c>
      <c r="AG4798" s="372">
        <v>44608</v>
      </c>
      <c r="AH4798">
        <v>3946.88</v>
      </c>
    </row>
    <row r="4799" spans="32:34">
      <c r="AF4799" s="367">
        <f t="shared" si="74"/>
        <v>44593</v>
      </c>
      <c r="AG4799" s="372">
        <v>44609</v>
      </c>
      <c r="AH4799">
        <v>3963.72</v>
      </c>
    </row>
    <row r="4800" spans="32:34">
      <c r="AF4800" s="367">
        <f t="shared" si="74"/>
        <v>44593</v>
      </c>
      <c r="AG4800" s="372">
        <v>44610</v>
      </c>
      <c r="AH4800">
        <v>3953.26</v>
      </c>
    </row>
    <row r="4801" spans="32:34">
      <c r="AF4801" s="367">
        <f t="shared" si="74"/>
        <v>44593</v>
      </c>
      <c r="AG4801" s="372">
        <v>44611</v>
      </c>
      <c r="AH4801">
        <v>3927.25</v>
      </c>
    </row>
    <row r="4802" spans="32:34">
      <c r="AF4802" s="367">
        <f t="shared" si="74"/>
        <v>44593</v>
      </c>
      <c r="AG4802" s="372">
        <v>44612</v>
      </c>
      <c r="AH4802">
        <v>3927.25</v>
      </c>
    </row>
    <row r="4803" spans="32:34">
      <c r="AF4803" s="367">
        <f t="shared" si="74"/>
        <v>44593</v>
      </c>
      <c r="AG4803" s="372">
        <v>44613</v>
      </c>
      <c r="AH4803">
        <v>3927.25</v>
      </c>
    </row>
    <row r="4804" spans="32:34">
      <c r="AF4804" s="367">
        <f t="shared" ref="AF4804:AF4867" si="75">+DATE(YEAR(AG4804),MONTH(AG4804),1)</f>
        <v>44593</v>
      </c>
      <c r="AG4804" s="372">
        <v>44614</v>
      </c>
      <c r="AH4804">
        <v>3927.25</v>
      </c>
    </row>
    <row r="4805" spans="32:34">
      <c r="AF4805" s="367">
        <f t="shared" si="75"/>
        <v>44593</v>
      </c>
      <c r="AG4805" s="372">
        <v>44615</v>
      </c>
      <c r="AH4805">
        <v>3932.4</v>
      </c>
    </row>
    <row r="4806" spans="32:34">
      <c r="AF4806" s="367">
        <f t="shared" si="75"/>
        <v>44593</v>
      </c>
      <c r="AG4806" s="372">
        <v>44616</v>
      </c>
      <c r="AH4806">
        <v>3913.79</v>
      </c>
    </row>
    <row r="4807" spans="32:34">
      <c r="AF4807" s="367">
        <f t="shared" si="75"/>
        <v>44593</v>
      </c>
      <c r="AG4807" s="372">
        <v>44617</v>
      </c>
      <c r="AH4807">
        <v>3940.2</v>
      </c>
    </row>
    <row r="4808" spans="32:34">
      <c r="AF4808" s="367">
        <f t="shared" si="75"/>
        <v>44593</v>
      </c>
      <c r="AG4808" s="372">
        <v>44618</v>
      </c>
      <c r="AH4808">
        <v>3910.64</v>
      </c>
    </row>
    <row r="4809" spans="32:34">
      <c r="AF4809" s="367">
        <f t="shared" si="75"/>
        <v>44593</v>
      </c>
      <c r="AG4809" s="372">
        <v>44619</v>
      </c>
      <c r="AH4809">
        <v>3910.64</v>
      </c>
    </row>
    <row r="4810" spans="32:34">
      <c r="AF4810" s="367">
        <f t="shared" si="75"/>
        <v>44593</v>
      </c>
      <c r="AG4810" s="372">
        <v>44620</v>
      </c>
      <c r="AH4810">
        <v>3910.64</v>
      </c>
    </row>
    <row r="4811" spans="32:34">
      <c r="AF4811" s="367">
        <f t="shared" si="75"/>
        <v>44621</v>
      </c>
      <c r="AG4811" s="372">
        <v>44621</v>
      </c>
      <c r="AH4811">
        <v>3910.28</v>
      </c>
    </row>
    <row r="4812" spans="32:34">
      <c r="AF4812" s="367">
        <f t="shared" si="75"/>
        <v>44621</v>
      </c>
      <c r="AG4812" s="372">
        <v>44622</v>
      </c>
      <c r="AH4812">
        <v>3901.62</v>
      </c>
    </row>
    <row r="4813" spans="32:34">
      <c r="AF4813" s="367">
        <f t="shared" si="75"/>
        <v>44621</v>
      </c>
      <c r="AG4813" s="372">
        <v>44623</v>
      </c>
      <c r="AH4813">
        <v>3862.95</v>
      </c>
    </row>
    <row r="4814" spans="32:34">
      <c r="AF4814" s="367">
        <f t="shared" si="75"/>
        <v>44621</v>
      </c>
      <c r="AG4814" s="372">
        <v>44624</v>
      </c>
      <c r="AH4814">
        <v>3771.77</v>
      </c>
    </row>
    <row r="4815" spans="32:34">
      <c r="AF4815" s="367">
        <f t="shared" si="75"/>
        <v>44621</v>
      </c>
      <c r="AG4815" s="372">
        <v>44625</v>
      </c>
      <c r="AH4815">
        <v>3806.11</v>
      </c>
    </row>
    <row r="4816" spans="32:34">
      <c r="AF4816" s="367">
        <f t="shared" si="75"/>
        <v>44621</v>
      </c>
      <c r="AG4816" s="372">
        <v>44626</v>
      </c>
      <c r="AH4816">
        <v>3806.11</v>
      </c>
    </row>
    <row r="4817" spans="32:34">
      <c r="AF4817" s="367">
        <f t="shared" si="75"/>
        <v>44621</v>
      </c>
      <c r="AG4817" s="372">
        <v>44627</v>
      </c>
      <c r="AH4817">
        <v>3806.11</v>
      </c>
    </row>
    <row r="4818" spans="32:34">
      <c r="AF4818" s="367">
        <f t="shared" si="75"/>
        <v>44621</v>
      </c>
      <c r="AG4818" s="372">
        <v>44628</v>
      </c>
      <c r="AH4818">
        <v>3813.41</v>
      </c>
    </row>
    <row r="4819" spans="32:34">
      <c r="AF4819" s="367">
        <f t="shared" si="75"/>
        <v>44621</v>
      </c>
      <c r="AG4819" s="372">
        <v>44629</v>
      </c>
      <c r="AH4819">
        <v>3787.18</v>
      </c>
    </row>
    <row r="4820" spans="32:34">
      <c r="AF4820" s="367">
        <f t="shared" si="75"/>
        <v>44621</v>
      </c>
      <c r="AG4820" s="372">
        <v>44630</v>
      </c>
      <c r="AH4820">
        <v>3746.43</v>
      </c>
    </row>
    <row r="4821" spans="32:34">
      <c r="AF4821" s="367">
        <f t="shared" si="75"/>
        <v>44621</v>
      </c>
      <c r="AG4821" s="372">
        <v>44631</v>
      </c>
      <c r="AH4821">
        <v>3786</v>
      </c>
    </row>
    <row r="4822" spans="32:34">
      <c r="AF4822" s="367">
        <f t="shared" si="75"/>
        <v>44621</v>
      </c>
      <c r="AG4822" s="372">
        <v>44632</v>
      </c>
      <c r="AH4822">
        <v>3827.64</v>
      </c>
    </row>
    <row r="4823" spans="32:34">
      <c r="AF4823" s="367">
        <f t="shared" si="75"/>
        <v>44621</v>
      </c>
      <c r="AG4823" s="372">
        <v>44633</v>
      </c>
      <c r="AH4823">
        <v>3827.64</v>
      </c>
    </row>
    <row r="4824" spans="32:34">
      <c r="AF4824" s="367">
        <f t="shared" si="75"/>
        <v>44621</v>
      </c>
      <c r="AG4824" s="372">
        <v>44634</v>
      </c>
      <c r="AH4824">
        <v>3827.64</v>
      </c>
    </row>
    <row r="4825" spans="32:34">
      <c r="AF4825" s="367">
        <f t="shared" si="75"/>
        <v>44621</v>
      </c>
      <c r="AG4825" s="372">
        <v>44635</v>
      </c>
      <c r="AH4825">
        <v>3800.85</v>
      </c>
    </row>
    <row r="4826" spans="32:34">
      <c r="AF4826" s="367">
        <f t="shared" si="75"/>
        <v>44621</v>
      </c>
      <c r="AG4826" s="372">
        <v>44636</v>
      </c>
      <c r="AH4826">
        <v>3836.56</v>
      </c>
    </row>
    <row r="4827" spans="32:34">
      <c r="AF4827" s="367">
        <f t="shared" si="75"/>
        <v>44621</v>
      </c>
      <c r="AG4827" s="372">
        <v>44637</v>
      </c>
      <c r="AH4827">
        <v>3826.89</v>
      </c>
    </row>
    <row r="4828" spans="32:34">
      <c r="AF4828" s="367">
        <f t="shared" si="75"/>
        <v>44621</v>
      </c>
      <c r="AG4828" s="372">
        <v>44638</v>
      </c>
      <c r="AH4828">
        <v>3816.43</v>
      </c>
    </row>
    <row r="4829" spans="32:34">
      <c r="AF4829" s="367">
        <f t="shared" si="75"/>
        <v>44621</v>
      </c>
      <c r="AG4829" s="372">
        <v>44639</v>
      </c>
      <c r="AH4829">
        <v>3820.67</v>
      </c>
    </row>
    <row r="4830" spans="32:34">
      <c r="AF4830" s="367">
        <f t="shared" si="75"/>
        <v>44621</v>
      </c>
      <c r="AG4830" s="372">
        <v>44640</v>
      </c>
      <c r="AH4830">
        <v>3820.67</v>
      </c>
    </row>
    <row r="4831" spans="32:34">
      <c r="AF4831" s="367">
        <f t="shared" si="75"/>
        <v>44621</v>
      </c>
      <c r="AG4831" s="372">
        <v>44641</v>
      </c>
      <c r="AH4831">
        <v>3820.67</v>
      </c>
    </row>
    <row r="4832" spans="32:34">
      <c r="AF4832" s="367">
        <f t="shared" si="75"/>
        <v>44621</v>
      </c>
      <c r="AG4832" s="372">
        <v>44642</v>
      </c>
      <c r="AH4832">
        <v>3820.67</v>
      </c>
    </row>
    <row r="4833" spans="32:34">
      <c r="AF4833" s="367">
        <f t="shared" si="75"/>
        <v>44621</v>
      </c>
      <c r="AG4833" s="372">
        <v>44643</v>
      </c>
      <c r="AH4833">
        <v>3765.67</v>
      </c>
    </row>
    <row r="4834" spans="32:34">
      <c r="AF4834" s="367">
        <f t="shared" si="75"/>
        <v>44621</v>
      </c>
      <c r="AG4834" s="372">
        <v>44644</v>
      </c>
      <c r="AH4834">
        <v>3756.64</v>
      </c>
    </row>
    <row r="4835" spans="32:34">
      <c r="AF4835" s="367">
        <f t="shared" si="75"/>
        <v>44621</v>
      </c>
      <c r="AG4835" s="372">
        <v>44645</v>
      </c>
      <c r="AH4835">
        <v>3798.9</v>
      </c>
    </row>
    <row r="4836" spans="32:34">
      <c r="AF4836" s="367">
        <f t="shared" si="75"/>
        <v>44621</v>
      </c>
      <c r="AG4836" s="372">
        <v>44646</v>
      </c>
      <c r="AH4836">
        <v>3785.66</v>
      </c>
    </row>
    <row r="4837" spans="32:34">
      <c r="AF4837" s="367">
        <f t="shared" si="75"/>
        <v>44621</v>
      </c>
      <c r="AG4837" s="372">
        <v>44647</v>
      </c>
      <c r="AH4837">
        <v>3785.66</v>
      </c>
    </row>
    <row r="4838" spans="32:34">
      <c r="AF4838" s="367">
        <f t="shared" si="75"/>
        <v>44621</v>
      </c>
      <c r="AG4838" s="372">
        <v>44648</v>
      </c>
      <c r="AH4838">
        <v>3785.66</v>
      </c>
    </row>
    <row r="4839" spans="32:34">
      <c r="AF4839" s="367">
        <f t="shared" si="75"/>
        <v>44621</v>
      </c>
      <c r="AG4839" s="372">
        <v>44649</v>
      </c>
      <c r="AH4839">
        <v>3785.7</v>
      </c>
    </row>
    <row r="4840" spans="32:34">
      <c r="AF4840" s="367">
        <f t="shared" si="75"/>
        <v>44621</v>
      </c>
      <c r="AG4840" s="372">
        <v>44650</v>
      </c>
      <c r="AH4840">
        <v>3765.96</v>
      </c>
    </row>
    <row r="4841" spans="32:34">
      <c r="AF4841" s="367">
        <f t="shared" si="75"/>
        <v>44621</v>
      </c>
      <c r="AG4841" s="372">
        <v>44651</v>
      </c>
      <c r="AH4841">
        <v>3748.15</v>
      </c>
    </row>
    <row r="4842" spans="32:34">
      <c r="AF4842" s="367">
        <f t="shared" si="75"/>
        <v>44652</v>
      </c>
      <c r="AG4842" s="372">
        <v>44652</v>
      </c>
      <c r="AH4842">
        <v>3756.03</v>
      </c>
    </row>
    <row r="4843" spans="32:34">
      <c r="AF4843" s="367">
        <f t="shared" si="75"/>
        <v>44652</v>
      </c>
      <c r="AG4843" s="372">
        <v>44653</v>
      </c>
      <c r="AH4843">
        <v>3774.79</v>
      </c>
    </row>
    <row r="4844" spans="32:34">
      <c r="AF4844" s="367">
        <f t="shared" si="75"/>
        <v>44652</v>
      </c>
      <c r="AG4844" s="372">
        <v>44654</v>
      </c>
      <c r="AH4844">
        <v>3774.79</v>
      </c>
    </row>
    <row r="4845" spans="32:34">
      <c r="AF4845" s="367">
        <f t="shared" si="75"/>
        <v>44652</v>
      </c>
      <c r="AG4845" s="372">
        <v>44655</v>
      </c>
      <c r="AH4845">
        <v>3774.79</v>
      </c>
    </row>
    <row r="4846" spans="32:34">
      <c r="AF4846" s="367">
        <f t="shared" si="75"/>
        <v>44652</v>
      </c>
      <c r="AG4846" s="372">
        <v>44656</v>
      </c>
      <c r="AH4846">
        <v>3706.95</v>
      </c>
    </row>
    <row r="4847" spans="32:34">
      <c r="AF4847" s="367">
        <f t="shared" si="75"/>
        <v>44652</v>
      </c>
      <c r="AG4847" s="372">
        <v>44657</v>
      </c>
      <c r="AH4847">
        <v>3723.79</v>
      </c>
    </row>
    <row r="4848" spans="32:34">
      <c r="AF4848" s="367">
        <f t="shared" si="75"/>
        <v>44652</v>
      </c>
      <c r="AG4848" s="372">
        <v>44658</v>
      </c>
      <c r="AH4848">
        <v>3746.51</v>
      </c>
    </row>
    <row r="4849" spans="32:34">
      <c r="AF4849" s="367">
        <f t="shared" si="75"/>
        <v>44652</v>
      </c>
      <c r="AG4849" s="372">
        <v>44659</v>
      </c>
      <c r="AH4849">
        <v>3771.83</v>
      </c>
    </row>
    <row r="4850" spans="32:34">
      <c r="AF4850" s="367">
        <f t="shared" si="75"/>
        <v>44652</v>
      </c>
      <c r="AG4850" s="372">
        <v>44660</v>
      </c>
      <c r="AH4850">
        <v>3777.41</v>
      </c>
    </row>
    <row r="4851" spans="32:34">
      <c r="AF4851" s="367">
        <f t="shared" si="75"/>
        <v>44652</v>
      </c>
      <c r="AG4851" s="372">
        <v>44661</v>
      </c>
      <c r="AH4851">
        <v>3777.41</v>
      </c>
    </row>
    <row r="4852" spans="32:34">
      <c r="AF4852" s="367">
        <f t="shared" si="75"/>
        <v>44652</v>
      </c>
      <c r="AG4852" s="372">
        <v>44662</v>
      </c>
      <c r="AH4852">
        <v>3777.41</v>
      </c>
    </row>
    <row r="4853" spans="32:34">
      <c r="AF4853" s="367">
        <f t="shared" si="75"/>
        <v>44652</v>
      </c>
      <c r="AG4853" s="372">
        <v>44663</v>
      </c>
      <c r="AH4853">
        <v>3744.16</v>
      </c>
    </row>
    <row r="4854" spans="32:34">
      <c r="AF4854" s="367">
        <f t="shared" si="75"/>
        <v>44652</v>
      </c>
      <c r="AG4854" s="372">
        <v>44664</v>
      </c>
      <c r="AH4854">
        <v>3736.7</v>
      </c>
    </row>
    <row r="4855" spans="32:34">
      <c r="AF4855" s="367">
        <f t="shared" si="75"/>
        <v>44652</v>
      </c>
      <c r="AG4855" s="372">
        <v>44665</v>
      </c>
      <c r="AH4855">
        <v>3737.32</v>
      </c>
    </row>
    <row r="4856" spans="32:34">
      <c r="AF4856" s="367">
        <f t="shared" si="75"/>
        <v>44652</v>
      </c>
      <c r="AG4856" s="372">
        <v>44666</v>
      </c>
      <c r="AH4856">
        <v>3737.32</v>
      </c>
    </row>
    <row r="4857" spans="32:34">
      <c r="AF4857" s="367">
        <f t="shared" si="75"/>
        <v>44652</v>
      </c>
      <c r="AG4857" s="372">
        <v>44667</v>
      </c>
      <c r="AH4857">
        <v>3737.32</v>
      </c>
    </row>
    <row r="4858" spans="32:34">
      <c r="AF4858" s="367">
        <f t="shared" si="75"/>
        <v>44652</v>
      </c>
      <c r="AG4858" s="372">
        <v>44668</v>
      </c>
      <c r="AH4858">
        <v>3737.32</v>
      </c>
    </row>
    <row r="4859" spans="32:34">
      <c r="AF4859" s="367">
        <f t="shared" si="75"/>
        <v>44652</v>
      </c>
      <c r="AG4859" s="372">
        <v>44669</v>
      </c>
      <c r="AH4859">
        <v>3737.32</v>
      </c>
    </row>
    <row r="4860" spans="32:34">
      <c r="AF4860" s="367">
        <f t="shared" si="75"/>
        <v>44652</v>
      </c>
      <c r="AG4860" s="372">
        <v>44670</v>
      </c>
      <c r="AH4860">
        <v>3731.31</v>
      </c>
    </row>
    <row r="4861" spans="32:34">
      <c r="AF4861" s="367">
        <f t="shared" si="75"/>
        <v>44652</v>
      </c>
      <c r="AG4861" s="372">
        <v>44671</v>
      </c>
      <c r="AH4861">
        <v>3755.85</v>
      </c>
    </row>
    <row r="4862" spans="32:34">
      <c r="AF4862" s="367">
        <f t="shared" si="75"/>
        <v>44652</v>
      </c>
      <c r="AG4862" s="372">
        <v>44672</v>
      </c>
      <c r="AH4862">
        <v>3758.65</v>
      </c>
    </row>
    <row r="4863" spans="32:34">
      <c r="AF4863" s="367">
        <f t="shared" si="75"/>
        <v>44652</v>
      </c>
      <c r="AG4863" s="372">
        <v>44673</v>
      </c>
      <c r="AH4863">
        <v>3759.54</v>
      </c>
    </row>
    <row r="4864" spans="32:34">
      <c r="AF4864" s="367">
        <f t="shared" si="75"/>
        <v>44652</v>
      </c>
      <c r="AG4864" s="372">
        <v>44674</v>
      </c>
      <c r="AH4864">
        <v>3819.07</v>
      </c>
    </row>
    <row r="4865" spans="32:34">
      <c r="AF4865" s="367">
        <f t="shared" si="75"/>
        <v>44652</v>
      </c>
      <c r="AG4865" s="372">
        <v>44675</v>
      </c>
      <c r="AH4865">
        <v>3819.07</v>
      </c>
    </row>
    <row r="4866" spans="32:34">
      <c r="AF4866" s="367">
        <f t="shared" si="75"/>
        <v>44652</v>
      </c>
      <c r="AG4866" s="372">
        <v>44676</v>
      </c>
      <c r="AH4866">
        <v>3819.07</v>
      </c>
    </row>
    <row r="4867" spans="32:34">
      <c r="AF4867" s="367">
        <f t="shared" si="75"/>
        <v>44652</v>
      </c>
      <c r="AG4867" s="372">
        <v>44677</v>
      </c>
      <c r="AH4867">
        <v>3931.74</v>
      </c>
    </row>
    <row r="4868" spans="32:34">
      <c r="AF4868" s="367">
        <f t="shared" ref="AF4868:AF4931" si="76">+DATE(YEAR(AG4868),MONTH(AG4868),1)</f>
        <v>44652</v>
      </c>
      <c r="AG4868" s="372">
        <v>44678</v>
      </c>
      <c r="AH4868">
        <v>3947.63</v>
      </c>
    </row>
    <row r="4869" spans="32:34">
      <c r="AF4869" s="367">
        <f t="shared" si="76"/>
        <v>44652</v>
      </c>
      <c r="AG4869" s="372">
        <v>44679</v>
      </c>
      <c r="AH4869">
        <v>3967.32</v>
      </c>
    </row>
    <row r="4870" spans="32:34">
      <c r="AF4870" s="367">
        <f t="shared" si="76"/>
        <v>44652</v>
      </c>
      <c r="AG4870" s="372">
        <v>44680</v>
      </c>
      <c r="AH4870">
        <v>3984.77</v>
      </c>
    </row>
    <row r="4871" spans="32:34">
      <c r="AF4871" s="367">
        <f t="shared" si="76"/>
        <v>44652</v>
      </c>
      <c r="AG4871" s="372">
        <v>44681</v>
      </c>
      <c r="AH4871">
        <v>3966.27</v>
      </c>
    </row>
    <row r="4872" spans="32:34">
      <c r="AF4872" s="367">
        <f t="shared" si="76"/>
        <v>44682</v>
      </c>
      <c r="AG4872" s="372">
        <v>44682</v>
      </c>
      <c r="AH4872">
        <v>3966.27</v>
      </c>
    </row>
    <row r="4873" spans="32:34">
      <c r="AF4873" s="367">
        <f t="shared" si="76"/>
        <v>44682</v>
      </c>
      <c r="AG4873" s="372">
        <v>44683</v>
      </c>
      <c r="AH4873">
        <v>3966.27</v>
      </c>
    </row>
    <row r="4874" spans="32:34">
      <c r="AF4874" s="367">
        <f t="shared" si="76"/>
        <v>44682</v>
      </c>
      <c r="AG4874" s="372">
        <v>44684</v>
      </c>
      <c r="AH4874">
        <v>4004.07</v>
      </c>
    </row>
    <row r="4875" spans="32:34">
      <c r="AF4875" s="367">
        <f t="shared" si="76"/>
        <v>44682</v>
      </c>
      <c r="AG4875" s="372">
        <v>44685</v>
      </c>
      <c r="AH4875">
        <v>4016.34</v>
      </c>
    </row>
    <row r="4876" spans="32:34">
      <c r="AF4876" s="367">
        <f t="shared" si="76"/>
        <v>44682</v>
      </c>
      <c r="AG4876" s="372">
        <v>44686</v>
      </c>
      <c r="AH4876">
        <v>4056.41</v>
      </c>
    </row>
    <row r="4877" spans="32:34">
      <c r="AF4877" s="367">
        <f t="shared" si="76"/>
        <v>44682</v>
      </c>
      <c r="AG4877" s="372">
        <v>44687</v>
      </c>
      <c r="AH4877">
        <v>4086.08</v>
      </c>
    </row>
    <row r="4878" spans="32:34">
      <c r="AF4878" s="367">
        <f t="shared" si="76"/>
        <v>44682</v>
      </c>
      <c r="AG4878" s="372">
        <v>44688</v>
      </c>
      <c r="AH4878">
        <v>4053.93</v>
      </c>
    </row>
    <row r="4879" spans="32:34">
      <c r="AF4879" s="367">
        <f t="shared" si="76"/>
        <v>44682</v>
      </c>
      <c r="AG4879" s="372">
        <v>44689</v>
      </c>
      <c r="AH4879">
        <v>4053.93</v>
      </c>
    </row>
    <row r="4880" spans="32:34">
      <c r="AF4880" s="367">
        <f t="shared" si="76"/>
        <v>44682</v>
      </c>
      <c r="AG4880" s="372">
        <v>44690</v>
      </c>
      <c r="AH4880">
        <v>4053.93</v>
      </c>
    </row>
    <row r="4881" spans="32:34">
      <c r="AF4881" s="367">
        <f t="shared" si="76"/>
        <v>44682</v>
      </c>
      <c r="AG4881" s="372">
        <v>44691</v>
      </c>
      <c r="AH4881">
        <v>4085.76</v>
      </c>
    </row>
    <row r="4882" spans="32:34">
      <c r="AF4882" s="367">
        <f t="shared" si="76"/>
        <v>44682</v>
      </c>
      <c r="AG4882" s="372">
        <v>44692</v>
      </c>
      <c r="AH4882">
        <v>4086.71</v>
      </c>
    </row>
    <row r="4883" spans="32:34">
      <c r="AF4883" s="367">
        <f t="shared" si="76"/>
        <v>44682</v>
      </c>
      <c r="AG4883" s="372">
        <v>44693</v>
      </c>
      <c r="AH4883">
        <v>4080.32</v>
      </c>
    </row>
    <row r="4884" spans="32:34">
      <c r="AF4884" s="367">
        <f t="shared" si="76"/>
        <v>44682</v>
      </c>
      <c r="AG4884" s="372">
        <v>44694</v>
      </c>
      <c r="AH4884">
        <v>4109.71</v>
      </c>
    </row>
    <row r="4885" spans="32:34">
      <c r="AF4885" s="367">
        <f t="shared" si="76"/>
        <v>44682</v>
      </c>
      <c r="AG4885" s="372">
        <v>44695</v>
      </c>
      <c r="AH4885">
        <v>4110.53</v>
      </c>
    </row>
    <row r="4886" spans="32:34">
      <c r="AF4886" s="367">
        <f t="shared" si="76"/>
        <v>44682</v>
      </c>
      <c r="AG4886" s="372">
        <v>44696</v>
      </c>
      <c r="AH4886">
        <v>4110.53</v>
      </c>
    </row>
    <row r="4887" spans="32:34">
      <c r="AF4887" s="367">
        <f t="shared" si="76"/>
        <v>44682</v>
      </c>
      <c r="AG4887" s="372">
        <v>44697</v>
      </c>
      <c r="AH4887">
        <v>4110.53</v>
      </c>
    </row>
    <row r="4888" spans="32:34">
      <c r="AF4888" s="367">
        <f t="shared" si="76"/>
        <v>44682</v>
      </c>
      <c r="AG4888" s="372">
        <v>44698</v>
      </c>
      <c r="AH4888">
        <v>4070.25</v>
      </c>
    </row>
    <row r="4889" spans="32:34">
      <c r="AF4889" s="367">
        <f t="shared" si="76"/>
        <v>44682</v>
      </c>
      <c r="AG4889" s="372">
        <v>44699</v>
      </c>
      <c r="AH4889">
        <v>4033.85</v>
      </c>
    </row>
    <row r="4890" spans="32:34">
      <c r="AF4890" s="367">
        <f t="shared" si="76"/>
        <v>44682</v>
      </c>
      <c r="AG4890" s="372">
        <v>44700</v>
      </c>
      <c r="AH4890">
        <v>4054.71</v>
      </c>
    </row>
    <row r="4891" spans="32:34">
      <c r="AF4891" s="367">
        <f t="shared" si="76"/>
        <v>44682</v>
      </c>
      <c r="AG4891" s="372">
        <v>44701</v>
      </c>
      <c r="AH4891">
        <v>4050.88</v>
      </c>
    </row>
    <row r="4892" spans="32:34">
      <c r="AF4892" s="367">
        <f t="shared" si="76"/>
        <v>44682</v>
      </c>
      <c r="AG4892" s="372">
        <v>44702</v>
      </c>
      <c r="AH4892">
        <v>3989.84</v>
      </c>
    </row>
    <row r="4893" spans="32:34">
      <c r="AF4893" s="367">
        <f t="shared" si="76"/>
        <v>44682</v>
      </c>
      <c r="AG4893" s="372">
        <v>44703</v>
      </c>
      <c r="AH4893">
        <v>3989.84</v>
      </c>
    </row>
    <row r="4894" spans="32:34">
      <c r="AF4894" s="367">
        <f t="shared" si="76"/>
        <v>44682</v>
      </c>
      <c r="AG4894" s="372">
        <v>44704</v>
      </c>
      <c r="AH4894">
        <v>3989.84</v>
      </c>
    </row>
    <row r="4895" spans="32:34">
      <c r="AF4895" s="367">
        <f t="shared" si="76"/>
        <v>44682</v>
      </c>
      <c r="AG4895" s="372">
        <v>44705</v>
      </c>
      <c r="AH4895">
        <v>3950.35</v>
      </c>
    </row>
    <row r="4896" spans="32:34">
      <c r="AF4896" s="367">
        <f t="shared" si="76"/>
        <v>44682</v>
      </c>
      <c r="AG4896" s="372">
        <v>44706</v>
      </c>
      <c r="AH4896">
        <v>3971.28</v>
      </c>
    </row>
    <row r="4897" spans="32:34">
      <c r="AF4897" s="367">
        <f t="shared" si="76"/>
        <v>44682</v>
      </c>
      <c r="AG4897" s="372">
        <v>44707</v>
      </c>
      <c r="AH4897">
        <v>3959.05</v>
      </c>
    </row>
    <row r="4898" spans="32:34">
      <c r="AF4898" s="367">
        <f t="shared" si="76"/>
        <v>44682</v>
      </c>
      <c r="AG4898" s="372">
        <v>44708</v>
      </c>
      <c r="AH4898">
        <v>3930.89</v>
      </c>
    </row>
    <row r="4899" spans="32:34">
      <c r="AF4899" s="367">
        <f t="shared" si="76"/>
        <v>44682</v>
      </c>
      <c r="AG4899" s="372">
        <v>44709</v>
      </c>
      <c r="AH4899">
        <v>3912.34</v>
      </c>
    </row>
    <row r="4900" spans="32:34">
      <c r="AF4900" s="367">
        <f t="shared" si="76"/>
        <v>44682</v>
      </c>
      <c r="AG4900" s="372">
        <v>44710</v>
      </c>
      <c r="AH4900">
        <v>3912.34</v>
      </c>
    </row>
    <row r="4901" spans="32:34">
      <c r="AF4901" s="367">
        <f t="shared" si="76"/>
        <v>44682</v>
      </c>
      <c r="AG4901" s="372">
        <v>44711</v>
      </c>
      <c r="AH4901">
        <v>3912.34</v>
      </c>
    </row>
    <row r="4902" spans="32:34">
      <c r="AF4902" s="367">
        <f t="shared" si="76"/>
        <v>44682</v>
      </c>
      <c r="AG4902" s="372">
        <v>44712</v>
      </c>
      <c r="AH4902">
        <v>3912.34</v>
      </c>
    </row>
    <row r="4903" spans="32:34">
      <c r="AF4903" s="367">
        <f t="shared" si="76"/>
        <v>44713</v>
      </c>
      <c r="AG4903" s="372">
        <v>44713</v>
      </c>
      <c r="AH4903">
        <v>3776.52</v>
      </c>
    </row>
    <row r="4904" spans="32:34">
      <c r="AF4904" s="367">
        <f t="shared" si="76"/>
        <v>44713</v>
      </c>
      <c r="AG4904" s="372">
        <v>44714</v>
      </c>
      <c r="AH4904">
        <v>3791.74</v>
      </c>
    </row>
    <row r="4905" spans="32:34">
      <c r="AF4905" s="367">
        <f t="shared" si="76"/>
        <v>44713</v>
      </c>
      <c r="AG4905" s="372">
        <v>44715</v>
      </c>
      <c r="AH4905">
        <v>3784.98</v>
      </c>
    </row>
    <row r="4906" spans="32:34">
      <c r="AF4906" s="367">
        <f t="shared" si="76"/>
        <v>44713</v>
      </c>
      <c r="AG4906" s="372">
        <v>44716</v>
      </c>
      <c r="AH4906">
        <v>3771.63</v>
      </c>
    </row>
    <row r="4907" spans="32:34">
      <c r="AF4907" s="367">
        <f t="shared" si="76"/>
        <v>44713</v>
      </c>
      <c r="AG4907" s="372">
        <v>44717</v>
      </c>
      <c r="AH4907">
        <v>3771.63</v>
      </c>
    </row>
    <row r="4908" spans="32:34">
      <c r="AF4908" s="367">
        <f t="shared" si="76"/>
        <v>44713</v>
      </c>
      <c r="AG4908" s="372">
        <v>44718</v>
      </c>
      <c r="AH4908">
        <v>3771.63</v>
      </c>
    </row>
    <row r="4909" spans="32:34">
      <c r="AF4909" s="367">
        <f t="shared" si="76"/>
        <v>44713</v>
      </c>
      <c r="AG4909" s="372">
        <v>44719</v>
      </c>
      <c r="AH4909">
        <v>3799.5</v>
      </c>
    </row>
    <row r="4910" spans="32:34">
      <c r="AF4910" s="367">
        <f t="shared" si="76"/>
        <v>44713</v>
      </c>
      <c r="AG4910" s="372">
        <v>44720</v>
      </c>
      <c r="AH4910">
        <v>3790.88</v>
      </c>
    </row>
    <row r="4911" spans="32:34">
      <c r="AF4911" s="367">
        <f t="shared" si="76"/>
        <v>44713</v>
      </c>
      <c r="AG4911" s="372">
        <v>44721</v>
      </c>
      <c r="AH4911">
        <v>3782.65</v>
      </c>
    </row>
    <row r="4912" spans="32:34">
      <c r="AF4912" s="367">
        <f t="shared" si="76"/>
        <v>44713</v>
      </c>
      <c r="AG4912" s="372">
        <v>44722</v>
      </c>
      <c r="AH4912">
        <v>3833.34</v>
      </c>
    </row>
    <row r="4913" spans="32:34">
      <c r="AF4913" s="367">
        <f t="shared" si="76"/>
        <v>44713</v>
      </c>
      <c r="AG4913" s="372">
        <v>44723</v>
      </c>
      <c r="AH4913">
        <v>3912.51</v>
      </c>
    </row>
    <row r="4914" spans="32:34">
      <c r="AF4914" s="367">
        <f t="shared" si="76"/>
        <v>44713</v>
      </c>
      <c r="AG4914" s="372">
        <v>44724</v>
      </c>
      <c r="AH4914">
        <v>3912.51</v>
      </c>
    </row>
    <row r="4915" spans="32:34">
      <c r="AF4915" s="367">
        <f t="shared" si="76"/>
        <v>44713</v>
      </c>
      <c r="AG4915" s="372">
        <v>44725</v>
      </c>
      <c r="AH4915">
        <v>3912.51</v>
      </c>
    </row>
    <row r="4916" spans="32:34">
      <c r="AF4916" s="367">
        <f t="shared" si="76"/>
        <v>44713</v>
      </c>
      <c r="AG4916" s="372">
        <v>44726</v>
      </c>
      <c r="AH4916">
        <v>4016.5</v>
      </c>
    </row>
    <row r="4917" spans="32:34">
      <c r="AF4917" s="367">
        <f t="shared" si="76"/>
        <v>44713</v>
      </c>
      <c r="AG4917" s="372">
        <v>44727</v>
      </c>
      <c r="AH4917">
        <v>3979.3</v>
      </c>
    </row>
    <row r="4918" spans="32:34">
      <c r="AF4918" s="367">
        <f t="shared" si="76"/>
        <v>44713</v>
      </c>
      <c r="AG4918" s="372">
        <v>44728</v>
      </c>
      <c r="AH4918">
        <v>3923.96</v>
      </c>
    </row>
    <row r="4919" spans="32:34">
      <c r="AF4919" s="367">
        <f t="shared" si="76"/>
        <v>44713</v>
      </c>
      <c r="AG4919" s="372">
        <v>44729</v>
      </c>
      <c r="AH4919">
        <v>3912.15</v>
      </c>
    </row>
    <row r="4920" spans="32:34">
      <c r="AF4920" s="367">
        <f t="shared" si="76"/>
        <v>44713</v>
      </c>
      <c r="AG4920" s="372">
        <v>44730</v>
      </c>
      <c r="AH4920">
        <v>3905.05</v>
      </c>
    </row>
    <row r="4921" spans="32:34">
      <c r="AF4921" s="367">
        <f t="shared" si="76"/>
        <v>44713</v>
      </c>
      <c r="AG4921" s="372">
        <v>44731</v>
      </c>
      <c r="AH4921">
        <v>3905.05</v>
      </c>
    </row>
    <row r="4922" spans="32:34">
      <c r="AF4922" s="367">
        <f t="shared" si="76"/>
        <v>44713</v>
      </c>
      <c r="AG4922" s="372">
        <v>44732</v>
      </c>
      <c r="AH4922">
        <v>3905.05</v>
      </c>
    </row>
    <row r="4923" spans="32:34">
      <c r="AF4923" s="367">
        <f t="shared" si="76"/>
        <v>44713</v>
      </c>
      <c r="AG4923" s="372">
        <v>44733</v>
      </c>
      <c r="AH4923">
        <v>3905.05</v>
      </c>
    </row>
    <row r="4924" spans="32:34">
      <c r="AF4924" s="367">
        <f t="shared" si="76"/>
        <v>44713</v>
      </c>
      <c r="AG4924" s="372">
        <v>44734</v>
      </c>
      <c r="AH4924">
        <v>4026.92</v>
      </c>
    </row>
    <row r="4925" spans="32:34">
      <c r="AF4925" s="367">
        <f t="shared" si="76"/>
        <v>44713</v>
      </c>
      <c r="AG4925" s="372">
        <v>44735</v>
      </c>
      <c r="AH4925">
        <v>4026.52</v>
      </c>
    </row>
    <row r="4926" spans="32:34">
      <c r="AF4926" s="367">
        <f t="shared" si="76"/>
        <v>44713</v>
      </c>
      <c r="AG4926" s="372">
        <v>44736</v>
      </c>
      <c r="AH4926">
        <v>4068.75</v>
      </c>
    </row>
    <row r="4927" spans="32:34">
      <c r="AF4927" s="367">
        <f t="shared" si="76"/>
        <v>44713</v>
      </c>
      <c r="AG4927" s="372">
        <v>44737</v>
      </c>
      <c r="AH4927">
        <v>4129.87</v>
      </c>
    </row>
    <row r="4928" spans="32:34">
      <c r="AF4928" s="367">
        <f t="shared" si="76"/>
        <v>44713</v>
      </c>
      <c r="AG4928" s="372">
        <v>44738</v>
      </c>
      <c r="AH4928">
        <v>4129.87</v>
      </c>
    </row>
    <row r="4929" spans="32:34">
      <c r="AF4929" s="367">
        <f t="shared" si="76"/>
        <v>44713</v>
      </c>
      <c r="AG4929" s="372">
        <v>44739</v>
      </c>
      <c r="AH4929">
        <v>4129.87</v>
      </c>
    </row>
    <row r="4930" spans="32:34">
      <c r="AF4930" s="367">
        <f t="shared" si="76"/>
        <v>44713</v>
      </c>
      <c r="AG4930" s="372">
        <v>44740</v>
      </c>
      <c r="AH4930">
        <v>4129.87</v>
      </c>
    </row>
    <row r="4931" spans="32:34">
      <c r="AF4931" s="367">
        <f t="shared" si="76"/>
        <v>44713</v>
      </c>
      <c r="AG4931" s="372">
        <v>44741</v>
      </c>
      <c r="AH4931">
        <v>4089.72</v>
      </c>
    </row>
    <row r="4932" spans="32:34">
      <c r="AF4932" s="367">
        <f t="shared" ref="AF4932:AF4995" si="77">+DATE(YEAR(AG4932),MONTH(AG4932),1)</f>
        <v>44713</v>
      </c>
      <c r="AG4932" s="372">
        <v>44742</v>
      </c>
      <c r="AH4932">
        <v>4127.47</v>
      </c>
    </row>
    <row r="4933" spans="32:34">
      <c r="AF4933" s="367">
        <f t="shared" si="77"/>
        <v>44743</v>
      </c>
      <c r="AG4933" s="372">
        <v>44743</v>
      </c>
      <c r="AH4933">
        <v>4151.21</v>
      </c>
    </row>
    <row r="4934" spans="32:34">
      <c r="AF4934" s="367">
        <f t="shared" si="77"/>
        <v>44743</v>
      </c>
      <c r="AG4934" s="372">
        <v>44744</v>
      </c>
      <c r="AH4934">
        <v>4198.7700000000004</v>
      </c>
    </row>
    <row r="4935" spans="32:34">
      <c r="AF4935" s="367">
        <f t="shared" si="77"/>
        <v>44743</v>
      </c>
      <c r="AG4935" s="372">
        <v>44745</v>
      </c>
      <c r="AH4935">
        <v>4198.7700000000004</v>
      </c>
    </row>
    <row r="4936" spans="32:34">
      <c r="AF4936" s="367">
        <f t="shared" si="77"/>
        <v>44743</v>
      </c>
      <c r="AG4936" s="372">
        <v>44746</v>
      </c>
      <c r="AH4936">
        <v>4198.7700000000004</v>
      </c>
    </row>
    <row r="4937" spans="32:34">
      <c r="AF4937" s="367">
        <f t="shared" si="77"/>
        <v>44743</v>
      </c>
      <c r="AG4937" s="372">
        <v>44747</v>
      </c>
      <c r="AH4937">
        <v>4198.7700000000004</v>
      </c>
    </row>
    <row r="4938" spans="32:34">
      <c r="AF4938" s="367">
        <f t="shared" si="77"/>
        <v>44743</v>
      </c>
      <c r="AG4938" s="372">
        <v>44748</v>
      </c>
      <c r="AH4938">
        <v>4259.8599999999997</v>
      </c>
    </row>
    <row r="4939" spans="32:34">
      <c r="AF4939" s="367">
        <f t="shared" si="77"/>
        <v>44743</v>
      </c>
      <c r="AG4939" s="372">
        <v>44749</v>
      </c>
      <c r="AH4939">
        <v>4348.68</v>
      </c>
    </row>
    <row r="4940" spans="32:34">
      <c r="AF4940" s="367">
        <f t="shared" si="77"/>
        <v>44743</v>
      </c>
      <c r="AG4940" s="372">
        <v>44750</v>
      </c>
      <c r="AH4940">
        <v>4369.7</v>
      </c>
    </row>
    <row r="4941" spans="32:34">
      <c r="AF4941" s="367">
        <f t="shared" si="77"/>
        <v>44743</v>
      </c>
      <c r="AG4941" s="372">
        <v>44751</v>
      </c>
      <c r="AH4941">
        <v>4388.2700000000004</v>
      </c>
    </row>
    <row r="4942" spans="32:34">
      <c r="AF4942" s="367">
        <f t="shared" si="77"/>
        <v>44743</v>
      </c>
      <c r="AG4942" s="372">
        <v>44752</v>
      </c>
      <c r="AH4942">
        <v>4388.2700000000004</v>
      </c>
    </row>
    <row r="4943" spans="32:34">
      <c r="AF4943" s="367">
        <f t="shared" si="77"/>
        <v>44743</v>
      </c>
      <c r="AG4943" s="372">
        <v>44753</v>
      </c>
      <c r="AH4943">
        <v>4388.2700000000004</v>
      </c>
    </row>
    <row r="4944" spans="32:34">
      <c r="AF4944" s="367">
        <f t="shared" si="77"/>
        <v>44743</v>
      </c>
      <c r="AG4944" s="372">
        <v>44754</v>
      </c>
      <c r="AH4944">
        <v>4513.28</v>
      </c>
    </row>
    <row r="4945" spans="32:34">
      <c r="AF4945" s="367">
        <f t="shared" si="77"/>
        <v>44743</v>
      </c>
      <c r="AG4945" s="372">
        <v>44755</v>
      </c>
      <c r="AH4945">
        <v>4627.46</v>
      </c>
    </row>
    <row r="4946" spans="32:34">
      <c r="AF4946" s="367">
        <f t="shared" si="77"/>
        <v>44743</v>
      </c>
      <c r="AG4946" s="372">
        <v>44756</v>
      </c>
      <c r="AH4946">
        <v>4558.05</v>
      </c>
    </row>
    <row r="4947" spans="32:34">
      <c r="AF4947" s="367">
        <f t="shared" si="77"/>
        <v>44743</v>
      </c>
      <c r="AG4947" s="372">
        <v>44757</v>
      </c>
      <c r="AH4947">
        <v>4519.6499999999996</v>
      </c>
    </row>
    <row r="4948" spans="32:34">
      <c r="AF4948" s="367">
        <f t="shared" si="77"/>
        <v>44743</v>
      </c>
      <c r="AG4948" s="372">
        <v>44758</v>
      </c>
      <c r="AH4948">
        <v>4395.63</v>
      </c>
    </row>
    <row r="4949" spans="32:34">
      <c r="AF4949" s="367">
        <f t="shared" si="77"/>
        <v>44743</v>
      </c>
      <c r="AG4949" s="372">
        <v>44759</v>
      </c>
      <c r="AH4949">
        <v>4395.63</v>
      </c>
    </row>
    <row r="4950" spans="32:34">
      <c r="AF4950" s="367">
        <f t="shared" si="77"/>
        <v>44743</v>
      </c>
      <c r="AG4950" s="372">
        <v>44760</v>
      </c>
      <c r="AH4950">
        <v>4395.63</v>
      </c>
    </row>
    <row r="4951" spans="32:34">
      <c r="AF4951" s="367">
        <f t="shared" si="77"/>
        <v>44743</v>
      </c>
      <c r="AG4951" s="372">
        <v>44761</v>
      </c>
      <c r="AH4951">
        <v>4315.41</v>
      </c>
    </row>
    <row r="4952" spans="32:34">
      <c r="AF4952" s="367">
        <f t="shared" si="77"/>
        <v>44743</v>
      </c>
      <c r="AG4952" s="372">
        <v>44762</v>
      </c>
      <c r="AH4952">
        <v>4303.34</v>
      </c>
    </row>
    <row r="4953" spans="32:34">
      <c r="AF4953" s="367">
        <f t="shared" si="77"/>
        <v>44743</v>
      </c>
      <c r="AG4953" s="372">
        <v>44763</v>
      </c>
      <c r="AH4953">
        <v>4303.34</v>
      </c>
    </row>
    <row r="4954" spans="32:34">
      <c r="AF4954" s="367">
        <f t="shared" si="77"/>
        <v>44743</v>
      </c>
      <c r="AG4954" s="372">
        <v>44764</v>
      </c>
      <c r="AH4954">
        <v>4410.1400000000003</v>
      </c>
    </row>
    <row r="4955" spans="32:34">
      <c r="AF4955" s="367">
        <f t="shared" si="77"/>
        <v>44743</v>
      </c>
      <c r="AG4955" s="372">
        <v>44765</v>
      </c>
      <c r="AH4955">
        <v>4423.8599999999997</v>
      </c>
    </row>
    <row r="4956" spans="32:34">
      <c r="AF4956" s="367">
        <f t="shared" si="77"/>
        <v>44743</v>
      </c>
      <c r="AG4956" s="372">
        <v>44766</v>
      </c>
      <c r="AH4956">
        <v>4423.8599999999997</v>
      </c>
    </row>
    <row r="4957" spans="32:34">
      <c r="AF4957" s="367">
        <f t="shared" si="77"/>
        <v>44743</v>
      </c>
      <c r="AG4957" s="372">
        <v>44767</v>
      </c>
      <c r="AH4957">
        <v>4423.8599999999997</v>
      </c>
    </row>
    <row r="4958" spans="32:34">
      <c r="AF4958" s="367">
        <f t="shared" si="77"/>
        <v>44743</v>
      </c>
      <c r="AG4958" s="372">
        <v>44768</v>
      </c>
      <c r="AH4958">
        <v>4461.63</v>
      </c>
    </row>
    <row r="4959" spans="32:34">
      <c r="AF4959" s="367">
        <f t="shared" si="77"/>
        <v>44743</v>
      </c>
      <c r="AG4959" s="372">
        <v>44769</v>
      </c>
      <c r="AH4959">
        <v>4445.01</v>
      </c>
    </row>
    <row r="4960" spans="32:34">
      <c r="AF4960" s="367">
        <f t="shared" si="77"/>
        <v>44743</v>
      </c>
      <c r="AG4960" s="372">
        <v>44770</v>
      </c>
      <c r="AH4960">
        <v>4420.75</v>
      </c>
    </row>
    <row r="4961" spans="32:34">
      <c r="AF4961" s="367">
        <f t="shared" si="77"/>
        <v>44743</v>
      </c>
      <c r="AG4961" s="372">
        <v>44771</v>
      </c>
      <c r="AH4961">
        <v>4375.51</v>
      </c>
    </row>
    <row r="4962" spans="32:34">
      <c r="AF4962" s="367">
        <f t="shared" si="77"/>
        <v>44743</v>
      </c>
      <c r="AG4962" s="372">
        <v>44772</v>
      </c>
      <c r="AH4962">
        <v>4300.3</v>
      </c>
    </row>
    <row r="4963" spans="32:34">
      <c r="AF4963" s="367">
        <f t="shared" si="77"/>
        <v>44743</v>
      </c>
      <c r="AG4963" s="372">
        <v>44773</v>
      </c>
      <c r="AH4963">
        <v>4300.3</v>
      </c>
    </row>
    <row r="4964" spans="32:34">
      <c r="AF4964" s="367">
        <f t="shared" si="77"/>
        <v>44774</v>
      </c>
      <c r="AG4964" s="372">
        <v>44774</v>
      </c>
      <c r="AH4964">
        <v>4300.3</v>
      </c>
    </row>
    <row r="4965" spans="32:34">
      <c r="AF4965" s="367">
        <f t="shared" si="77"/>
        <v>44774</v>
      </c>
      <c r="AG4965" s="372">
        <v>44775</v>
      </c>
      <c r="AH4965">
        <v>4245.99</v>
      </c>
    </row>
    <row r="4966" spans="32:34">
      <c r="AF4966" s="367">
        <f t="shared" si="77"/>
        <v>44774</v>
      </c>
      <c r="AG4966" s="372">
        <v>44776</v>
      </c>
      <c r="AH4966">
        <v>4313.3</v>
      </c>
    </row>
    <row r="4967" spans="32:34">
      <c r="AF4967" s="367">
        <f t="shared" si="77"/>
        <v>44774</v>
      </c>
      <c r="AG4967" s="372">
        <v>44777</v>
      </c>
      <c r="AH4967">
        <v>4331.1499999999996</v>
      </c>
    </row>
    <row r="4968" spans="32:34">
      <c r="AF4968" s="367">
        <f t="shared" si="77"/>
        <v>44774</v>
      </c>
      <c r="AG4968" s="372">
        <v>44778</v>
      </c>
      <c r="AH4968">
        <v>4268.3</v>
      </c>
    </row>
    <row r="4969" spans="32:34">
      <c r="AF4969" s="367">
        <f t="shared" si="77"/>
        <v>44774</v>
      </c>
      <c r="AG4969" s="372">
        <v>44779</v>
      </c>
      <c r="AH4969">
        <v>4337.28</v>
      </c>
    </row>
    <row r="4970" spans="32:34">
      <c r="AF4970" s="367">
        <f t="shared" si="77"/>
        <v>44774</v>
      </c>
      <c r="AG4970" s="372">
        <v>44780</v>
      </c>
      <c r="AH4970">
        <v>4337.28</v>
      </c>
    </row>
    <row r="4971" spans="32:34">
      <c r="AF4971" s="367">
        <f t="shared" si="77"/>
        <v>44774</v>
      </c>
      <c r="AG4971" s="372">
        <v>44781</v>
      </c>
      <c r="AH4971">
        <v>4337.28</v>
      </c>
    </row>
    <row r="4972" spans="32:34">
      <c r="AF4972" s="367">
        <f t="shared" si="77"/>
        <v>44774</v>
      </c>
      <c r="AG4972" s="372">
        <v>44782</v>
      </c>
      <c r="AH4972">
        <v>4307.09</v>
      </c>
    </row>
    <row r="4973" spans="32:34">
      <c r="AF4973" s="367">
        <f t="shared" si="77"/>
        <v>44774</v>
      </c>
      <c r="AG4973" s="372">
        <v>44783</v>
      </c>
      <c r="AH4973">
        <v>4309.6899999999996</v>
      </c>
    </row>
    <row r="4974" spans="32:34">
      <c r="AF4974" s="367">
        <f t="shared" si="77"/>
        <v>44774</v>
      </c>
      <c r="AG4974" s="372">
        <v>44784</v>
      </c>
      <c r="AH4974">
        <v>4273.82</v>
      </c>
    </row>
    <row r="4975" spans="32:34">
      <c r="AF4975" s="367">
        <f t="shared" si="77"/>
        <v>44774</v>
      </c>
      <c r="AG4975" s="372">
        <v>44785</v>
      </c>
      <c r="AH4975">
        <v>4231.45</v>
      </c>
    </row>
    <row r="4976" spans="32:34">
      <c r="AF4976" s="367">
        <f t="shared" si="77"/>
        <v>44774</v>
      </c>
      <c r="AG4976" s="372">
        <v>44786</v>
      </c>
      <c r="AH4976">
        <v>4185.49</v>
      </c>
    </row>
    <row r="4977" spans="32:34">
      <c r="AF4977" s="367">
        <f t="shared" si="77"/>
        <v>44774</v>
      </c>
      <c r="AG4977" s="372">
        <v>44787</v>
      </c>
      <c r="AH4977">
        <v>4185.49</v>
      </c>
    </row>
    <row r="4978" spans="32:34">
      <c r="AF4978" s="367">
        <f t="shared" si="77"/>
        <v>44774</v>
      </c>
      <c r="AG4978" s="372">
        <v>44788</v>
      </c>
      <c r="AH4978">
        <v>4185.49</v>
      </c>
    </row>
    <row r="4979" spans="32:34">
      <c r="AF4979" s="367">
        <f t="shared" si="77"/>
        <v>44774</v>
      </c>
      <c r="AG4979" s="372">
        <v>44789</v>
      </c>
      <c r="AH4979">
        <v>4185.49</v>
      </c>
    </row>
    <row r="4980" spans="32:34">
      <c r="AF4980" s="367">
        <f t="shared" si="77"/>
        <v>44774</v>
      </c>
      <c r="AG4980" s="372">
        <v>44790</v>
      </c>
      <c r="AH4980">
        <v>4218.4799999999996</v>
      </c>
    </row>
    <row r="4981" spans="32:34">
      <c r="AF4981" s="367">
        <f t="shared" si="77"/>
        <v>44774</v>
      </c>
      <c r="AG4981" s="372">
        <v>44791</v>
      </c>
      <c r="AH4981">
        <v>4316.47</v>
      </c>
    </row>
    <row r="4982" spans="32:34">
      <c r="AF4982" s="367">
        <f t="shared" si="77"/>
        <v>44774</v>
      </c>
      <c r="AG4982" s="372">
        <v>44792</v>
      </c>
      <c r="AH4982">
        <v>4413.8599999999997</v>
      </c>
    </row>
    <row r="4983" spans="32:34">
      <c r="AF4983" s="367">
        <f t="shared" si="77"/>
        <v>44774</v>
      </c>
      <c r="AG4983" s="372">
        <v>44793</v>
      </c>
      <c r="AH4983">
        <v>4400.25</v>
      </c>
    </row>
    <row r="4984" spans="32:34">
      <c r="AF4984" s="367">
        <f t="shared" si="77"/>
        <v>44774</v>
      </c>
      <c r="AG4984" s="372">
        <v>44794</v>
      </c>
      <c r="AH4984">
        <v>4400.25</v>
      </c>
    </row>
    <row r="4985" spans="32:34">
      <c r="AF4985" s="367">
        <f t="shared" si="77"/>
        <v>44774</v>
      </c>
      <c r="AG4985" s="372">
        <v>44795</v>
      </c>
      <c r="AH4985">
        <v>4400.25</v>
      </c>
    </row>
    <row r="4986" spans="32:34">
      <c r="AF4986" s="367">
        <f t="shared" si="77"/>
        <v>44774</v>
      </c>
      <c r="AG4986" s="372">
        <v>44796</v>
      </c>
      <c r="AH4986">
        <v>4399.16</v>
      </c>
    </row>
    <row r="4987" spans="32:34">
      <c r="AF4987" s="367">
        <f t="shared" si="77"/>
        <v>44774</v>
      </c>
      <c r="AG4987" s="372">
        <v>44797</v>
      </c>
      <c r="AH4987">
        <v>4374.45</v>
      </c>
    </row>
    <row r="4988" spans="32:34">
      <c r="AF4988" s="367">
        <f t="shared" si="77"/>
        <v>44774</v>
      </c>
      <c r="AG4988" s="372">
        <v>44798</v>
      </c>
      <c r="AH4988">
        <v>4380.1899999999996</v>
      </c>
    </row>
    <row r="4989" spans="32:34">
      <c r="AF4989" s="367">
        <f t="shared" si="77"/>
        <v>44774</v>
      </c>
      <c r="AG4989" s="372">
        <v>44799</v>
      </c>
      <c r="AH4989">
        <v>4407.95</v>
      </c>
    </row>
    <row r="4990" spans="32:34">
      <c r="AF4990" s="367">
        <f t="shared" si="77"/>
        <v>44774</v>
      </c>
      <c r="AG4990" s="372">
        <v>44800</v>
      </c>
      <c r="AH4990">
        <v>4388.0200000000004</v>
      </c>
    </row>
    <row r="4991" spans="32:34">
      <c r="AF4991" s="367">
        <f t="shared" si="77"/>
        <v>44774</v>
      </c>
      <c r="AG4991" s="372">
        <v>44801</v>
      </c>
      <c r="AH4991">
        <v>4388.0200000000004</v>
      </c>
    </row>
    <row r="4992" spans="32:34">
      <c r="AF4992" s="367">
        <f t="shared" si="77"/>
        <v>44774</v>
      </c>
      <c r="AG4992" s="372">
        <v>44802</v>
      </c>
      <c r="AH4992">
        <v>4388.0200000000004</v>
      </c>
    </row>
    <row r="4993" spans="32:34">
      <c r="AF4993" s="367">
        <f t="shared" si="77"/>
        <v>44774</v>
      </c>
      <c r="AG4993" s="372">
        <v>44803</v>
      </c>
      <c r="AH4993">
        <v>4386.13</v>
      </c>
    </row>
    <row r="4994" spans="32:34">
      <c r="AF4994" s="367">
        <f t="shared" si="77"/>
        <v>44774</v>
      </c>
      <c r="AG4994" s="372">
        <v>44804</v>
      </c>
      <c r="AH4994">
        <v>4400.16</v>
      </c>
    </row>
    <row r="4995" spans="32:34">
      <c r="AF4995" s="367">
        <f t="shared" si="77"/>
        <v>44805</v>
      </c>
      <c r="AG4995" s="372">
        <v>44805</v>
      </c>
      <c r="AH4995">
        <v>4422.7700000000004</v>
      </c>
    </row>
    <row r="4996" spans="32:34">
      <c r="AF4996" s="367">
        <f t="shared" ref="AF4996:AF5059" si="78">+DATE(YEAR(AG4996),MONTH(AG4996),1)</f>
        <v>44805</v>
      </c>
      <c r="AG4996" s="372">
        <v>44806</v>
      </c>
      <c r="AH4996">
        <v>4467.03</v>
      </c>
    </row>
    <row r="4997" spans="32:34">
      <c r="AF4997" s="367">
        <f t="shared" si="78"/>
        <v>44805</v>
      </c>
      <c r="AG4997" s="372">
        <v>44807</v>
      </c>
      <c r="AH4997">
        <v>4466.7299999999996</v>
      </c>
    </row>
    <row r="4998" spans="32:34">
      <c r="AF4998" s="367">
        <f t="shared" si="78"/>
        <v>44805</v>
      </c>
      <c r="AG4998" s="372">
        <v>44808</v>
      </c>
      <c r="AH4998">
        <v>4466.7299999999996</v>
      </c>
    </row>
    <row r="4999" spans="32:34">
      <c r="AF4999" s="367">
        <f t="shared" si="78"/>
        <v>44805</v>
      </c>
      <c r="AG4999" s="372">
        <v>44809</v>
      </c>
      <c r="AH4999">
        <v>4466.7299999999996</v>
      </c>
    </row>
    <row r="5000" spans="32:34">
      <c r="AF5000" s="367">
        <f t="shared" si="78"/>
        <v>44805</v>
      </c>
      <c r="AG5000" s="372">
        <v>44810</v>
      </c>
      <c r="AH5000">
        <v>4466.7299999999996</v>
      </c>
    </row>
    <row r="5001" spans="32:34">
      <c r="AF5001" s="367">
        <f t="shared" si="78"/>
        <v>44805</v>
      </c>
      <c r="AG5001" s="372">
        <v>44811</v>
      </c>
      <c r="AH5001">
        <v>4480.1000000000004</v>
      </c>
    </row>
    <row r="5002" spans="32:34">
      <c r="AF5002" s="367">
        <f t="shared" si="78"/>
        <v>44805</v>
      </c>
      <c r="AG5002" s="372">
        <v>44812</v>
      </c>
      <c r="AH5002">
        <v>4446.3599999999997</v>
      </c>
    </row>
    <row r="5003" spans="32:34">
      <c r="AF5003" s="367">
        <f t="shared" si="78"/>
        <v>44805</v>
      </c>
      <c r="AG5003" s="372">
        <v>44813</v>
      </c>
      <c r="AH5003">
        <v>4396.6899999999996</v>
      </c>
    </row>
    <row r="5004" spans="32:34">
      <c r="AF5004" s="367">
        <f t="shared" si="78"/>
        <v>44805</v>
      </c>
      <c r="AG5004" s="372">
        <v>44814</v>
      </c>
      <c r="AH5004">
        <v>4365.32</v>
      </c>
    </row>
    <row r="5005" spans="32:34">
      <c r="AF5005" s="367">
        <f t="shared" si="78"/>
        <v>44805</v>
      </c>
      <c r="AG5005" s="372">
        <v>44815</v>
      </c>
      <c r="AH5005">
        <v>4365.32</v>
      </c>
    </row>
    <row r="5006" spans="32:34">
      <c r="AF5006" s="367">
        <f t="shared" si="78"/>
        <v>44805</v>
      </c>
      <c r="AG5006" s="372">
        <v>44816</v>
      </c>
      <c r="AH5006">
        <v>4365.32</v>
      </c>
    </row>
    <row r="5007" spans="32:34">
      <c r="AF5007" s="367">
        <f t="shared" si="78"/>
        <v>44805</v>
      </c>
      <c r="AG5007" s="372">
        <v>44817</v>
      </c>
      <c r="AH5007">
        <v>4346.91</v>
      </c>
    </row>
    <row r="5008" spans="32:34">
      <c r="AF5008" s="367">
        <f t="shared" si="78"/>
        <v>44805</v>
      </c>
      <c r="AG5008" s="372">
        <v>44818</v>
      </c>
      <c r="AH5008">
        <v>4413.8900000000003</v>
      </c>
    </row>
    <row r="5009" spans="32:34">
      <c r="AF5009" s="367">
        <f t="shared" si="78"/>
        <v>44805</v>
      </c>
      <c r="AG5009" s="372">
        <v>44819</v>
      </c>
      <c r="AH5009">
        <v>4389.8</v>
      </c>
    </row>
    <row r="5010" spans="32:34">
      <c r="AF5010" s="367">
        <f t="shared" si="78"/>
        <v>44805</v>
      </c>
      <c r="AG5010" s="372">
        <v>44820</v>
      </c>
      <c r="AH5010">
        <v>4404.6400000000003</v>
      </c>
    </row>
    <row r="5011" spans="32:34">
      <c r="AF5011" s="367">
        <f t="shared" si="78"/>
        <v>44805</v>
      </c>
      <c r="AG5011" s="372">
        <v>44821</v>
      </c>
      <c r="AH5011">
        <v>4435.84</v>
      </c>
    </row>
    <row r="5012" spans="32:34">
      <c r="AF5012" s="367">
        <f t="shared" si="78"/>
        <v>44805</v>
      </c>
      <c r="AG5012" s="372">
        <v>44822</v>
      </c>
      <c r="AH5012">
        <v>4435.84</v>
      </c>
    </row>
    <row r="5013" spans="32:34">
      <c r="AF5013" s="367">
        <f t="shared" si="78"/>
        <v>44805</v>
      </c>
      <c r="AG5013" s="372">
        <v>44823</v>
      </c>
      <c r="AH5013">
        <v>4435.84</v>
      </c>
    </row>
    <row r="5014" spans="32:34">
      <c r="AF5014" s="367">
        <f t="shared" si="78"/>
        <v>44805</v>
      </c>
      <c r="AG5014" s="372">
        <v>44824</v>
      </c>
      <c r="AH5014">
        <v>4415.1099999999997</v>
      </c>
    </row>
    <row r="5015" spans="32:34">
      <c r="AF5015" s="367">
        <f t="shared" si="78"/>
        <v>44805</v>
      </c>
      <c r="AG5015" s="372">
        <v>44825</v>
      </c>
      <c r="AH5015">
        <v>4420.38</v>
      </c>
    </row>
    <row r="5016" spans="32:34">
      <c r="AF5016" s="367">
        <f t="shared" si="78"/>
        <v>44805</v>
      </c>
      <c r="AG5016" s="372">
        <v>44826</v>
      </c>
      <c r="AH5016">
        <v>4403.82</v>
      </c>
    </row>
    <row r="5017" spans="32:34">
      <c r="AF5017" s="367">
        <f t="shared" si="78"/>
        <v>44805</v>
      </c>
      <c r="AG5017" s="372">
        <v>44827</v>
      </c>
      <c r="AH5017">
        <v>4379.8</v>
      </c>
    </row>
    <row r="5018" spans="32:34">
      <c r="AF5018" s="367">
        <f t="shared" si="78"/>
        <v>44805</v>
      </c>
      <c r="AG5018" s="372">
        <v>44828</v>
      </c>
      <c r="AH5018">
        <v>4426.47</v>
      </c>
    </row>
    <row r="5019" spans="32:34">
      <c r="AF5019" s="367">
        <f t="shared" si="78"/>
        <v>44805</v>
      </c>
      <c r="AG5019" s="372">
        <v>44829</v>
      </c>
      <c r="AH5019">
        <v>4426.47</v>
      </c>
    </row>
    <row r="5020" spans="32:34">
      <c r="AF5020" s="367">
        <f t="shared" si="78"/>
        <v>44805</v>
      </c>
      <c r="AG5020" s="372">
        <v>44830</v>
      </c>
      <c r="AH5020">
        <v>4426.47</v>
      </c>
    </row>
    <row r="5021" spans="32:34">
      <c r="AF5021" s="367">
        <f t="shared" si="78"/>
        <v>44805</v>
      </c>
      <c r="AG5021" s="372">
        <v>44831</v>
      </c>
      <c r="AH5021">
        <v>4496.99</v>
      </c>
    </row>
    <row r="5022" spans="32:34">
      <c r="AF5022" s="367">
        <f t="shared" si="78"/>
        <v>44805</v>
      </c>
      <c r="AG5022" s="372">
        <v>44832</v>
      </c>
      <c r="AH5022">
        <v>4556.42</v>
      </c>
    </row>
    <row r="5023" spans="32:34">
      <c r="AF5023" s="367">
        <f t="shared" si="78"/>
        <v>44805</v>
      </c>
      <c r="AG5023" s="372">
        <v>44833</v>
      </c>
      <c r="AH5023">
        <v>4486.9399999999996</v>
      </c>
    </row>
    <row r="5024" spans="32:34">
      <c r="AF5024" s="367">
        <f t="shared" si="78"/>
        <v>44805</v>
      </c>
      <c r="AG5024" s="372">
        <v>44834</v>
      </c>
      <c r="AH5024">
        <v>4532.07</v>
      </c>
    </row>
    <row r="5025" spans="32:34">
      <c r="AF5025" s="367">
        <f t="shared" si="78"/>
        <v>44835</v>
      </c>
      <c r="AG5025" s="372">
        <v>44835</v>
      </c>
      <c r="AH5025">
        <v>4590.54</v>
      </c>
    </row>
    <row r="5026" spans="32:34">
      <c r="AF5026" s="367">
        <f t="shared" si="78"/>
        <v>44835</v>
      </c>
      <c r="AG5026" s="372">
        <v>44836</v>
      </c>
      <c r="AH5026">
        <v>4590.54</v>
      </c>
    </row>
    <row r="5027" spans="32:34">
      <c r="AF5027" s="367">
        <f t="shared" si="78"/>
        <v>44835</v>
      </c>
      <c r="AG5027" s="372">
        <v>44837</v>
      </c>
      <c r="AH5027">
        <v>4590.54</v>
      </c>
    </row>
    <row r="5028" spans="32:34">
      <c r="AF5028" s="367">
        <f t="shared" si="78"/>
        <v>44835</v>
      </c>
      <c r="AG5028" s="372">
        <v>44838</v>
      </c>
      <c r="AH5028">
        <v>4545.66</v>
      </c>
    </row>
    <row r="5029" spans="32:34">
      <c r="AF5029" s="367">
        <f t="shared" si="78"/>
        <v>44835</v>
      </c>
      <c r="AG5029" s="372">
        <v>44839</v>
      </c>
      <c r="AH5029">
        <v>4484.74</v>
      </c>
    </row>
    <row r="5030" spans="32:34">
      <c r="AF5030" s="367">
        <f t="shared" si="78"/>
        <v>44835</v>
      </c>
      <c r="AG5030" s="372">
        <v>44840</v>
      </c>
      <c r="AH5030">
        <v>4548.8900000000003</v>
      </c>
    </row>
    <row r="5031" spans="32:34">
      <c r="AF5031" s="367">
        <f t="shared" si="78"/>
        <v>44835</v>
      </c>
      <c r="AG5031" s="372">
        <v>44841</v>
      </c>
      <c r="AH5031">
        <v>4627.6099999999997</v>
      </c>
    </row>
    <row r="5032" spans="32:34">
      <c r="AF5032" s="367">
        <f t="shared" si="78"/>
        <v>44835</v>
      </c>
      <c r="AG5032" s="372">
        <v>44842</v>
      </c>
      <c r="AH5032">
        <v>4605.29</v>
      </c>
    </row>
    <row r="5033" spans="32:34">
      <c r="AF5033" s="367">
        <f t="shared" si="78"/>
        <v>44835</v>
      </c>
      <c r="AG5033" s="372">
        <v>44843</v>
      </c>
      <c r="AH5033">
        <v>4605.29</v>
      </c>
    </row>
    <row r="5034" spans="32:34">
      <c r="AF5034" s="367">
        <f t="shared" si="78"/>
        <v>44835</v>
      </c>
      <c r="AG5034" s="372">
        <v>44844</v>
      </c>
      <c r="AH5034">
        <v>4605.29</v>
      </c>
    </row>
    <row r="5035" spans="32:34">
      <c r="AF5035" s="367">
        <f t="shared" si="78"/>
        <v>44835</v>
      </c>
      <c r="AG5035" s="372">
        <v>44845</v>
      </c>
      <c r="AH5035">
        <v>4605.29</v>
      </c>
    </row>
    <row r="5036" spans="32:34">
      <c r="AF5036" s="367">
        <f t="shared" si="78"/>
        <v>44835</v>
      </c>
      <c r="AG5036" s="372">
        <v>44846</v>
      </c>
      <c r="AH5036">
        <v>4611.88</v>
      </c>
    </row>
    <row r="5037" spans="32:34">
      <c r="AF5037" s="367">
        <f t="shared" si="78"/>
        <v>44835</v>
      </c>
      <c r="AG5037" s="372">
        <v>44847</v>
      </c>
      <c r="AH5037">
        <v>4611.18</v>
      </c>
    </row>
    <row r="5038" spans="32:34">
      <c r="AF5038" s="367">
        <f t="shared" si="78"/>
        <v>44835</v>
      </c>
      <c r="AG5038" s="372">
        <v>44848</v>
      </c>
      <c r="AH5038">
        <v>4619.78</v>
      </c>
    </row>
    <row r="5039" spans="32:34">
      <c r="AF5039" s="367">
        <f t="shared" si="78"/>
        <v>44835</v>
      </c>
      <c r="AG5039" s="372">
        <v>44849</v>
      </c>
      <c r="AH5039">
        <v>4636.83</v>
      </c>
    </row>
    <row r="5040" spans="32:34">
      <c r="AF5040" s="367">
        <f t="shared" si="78"/>
        <v>44835</v>
      </c>
      <c r="AG5040" s="372">
        <v>44850</v>
      </c>
      <c r="AH5040">
        <v>4636.83</v>
      </c>
    </row>
    <row r="5041" spans="32:34">
      <c r="AF5041" s="367">
        <f t="shared" si="78"/>
        <v>44835</v>
      </c>
      <c r="AG5041" s="372">
        <v>44851</v>
      </c>
      <c r="AH5041">
        <v>4636.83</v>
      </c>
    </row>
    <row r="5042" spans="32:34">
      <c r="AF5042" s="367">
        <f t="shared" si="78"/>
        <v>44835</v>
      </c>
      <c r="AG5042" s="372">
        <v>44852</v>
      </c>
      <c r="AH5042">
        <v>4636.83</v>
      </c>
    </row>
    <row r="5043" spans="32:34">
      <c r="AF5043" s="367">
        <f t="shared" si="78"/>
        <v>44835</v>
      </c>
      <c r="AG5043" s="372">
        <v>44853</v>
      </c>
      <c r="AH5043">
        <v>4744.04</v>
      </c>
    </row>
    <row r="5044" spans="32:34">
      <c r="AF5044" s="367">
        <f t="shared" si="78"/>
        <v>44835</v>
      </c>
      <c r="AG5044" s="372">
        <v>44854</v>
      </c>
      <c r="AH5044">
        <v>4815.09</v>
      </c>
    </row>
    <row r="5045" spans="32:34">
      <c r="AF5045" s="367">
        <f t="shared" si="78"/>
        <v>44835</v>
      </c>
      <c r="AG5045" s="372">
        <v>44855</v>
      </c>
      <c r="AH5045">
        <v>4885.5</v>
      </c>
    </row>
    <row r="5046" spans="32:34">
      <c r="AF5046" s="367">
        <f t="shared" si="78"/>
        <v>44835</v>
      </c>
      <c r="AG5046" s="372">
        <v>44856</v>
      </c>
      <c r="AH5046">
        <v>4913.24</v>
      </c>
    </row>
    <row r="5047" spans="32:34">
      <c r="AF5047" s="367">
        <f t="shared" si="78"/>
        <v>44835</v>
      </c>
      <c r="AG5047" s="372">
        <v>44857</v>
      </c>
      <c r="AH5047">
        <v>4913.24</v>
      </c>
    </row>
    <row r="5048" spans="32:34">
      <c r="AF5048" s="367">
        <f t="shared" si="78"/>
        <v>44835</v>
      </c>
      <c r="AG5048" s="372">
        <v>44858</v>
      </c>
      <c r="AH5048">
        <v>4913.24</v>
      </c>
    </row>
    <row r="5049" spans="32:34">
      <c r="AF5049" s="367">
        <f t="shared" si="78"/>
        <v>44835</v>
      </c>
      <c r="AG5049" s="372">
        <v>44859</v>
      </c>
      <c r="AH5049">
        <v>4968.9399999999996</v>
      </c>
    </row>
    <row r="5050" spans="32:34">
      <c r="AF5050" s="367">
        <f t="shared" si="78"/>
        <v>44835</v>
      </c>
      <c r="AG5050" s="372">
        <v>44860</v>
      </c>
      <c r="AH5050">
        <v>4948.1400000000003</v>
      </c>
    </row>
    <row r="5051" spans="32:34">
      <c r="AF5051" s="367">
        <f t="shared" si="78"/>
        <v>44835</v>
      </c>
      <c r="AG5051" s="372">
        <v>44861</v>
      </c>
      <c r="AH5051">
        <v>4895.29</v>
      </c>
    </row>
    <row r="5052" spans="32:34">
      <c r="AF5052" s="367">
        <f t="shared" si="78"/>
        <v>44835</v>
      </c>
      <c r="AG5052" s="372">
        <v>44862</v>
      </c>
      <c r="AH5052">
        <v>4821.92</v>
      </c>
    </row>
    <row r="5053" spans="32:34">
      <c r="AF5053" s="367">
        <f t="shared" si="78"/>
        <v>44835</v>
      </c>
      <c r="AG5053" s="372">
        <v>44863</v>
      </c>
      <c r="AH5053">
        <v>4819.42</v>
      </c>
    </row>
    <row r="5054" spans="32:34">
      <c r="AF5054" s="367">
        <f t="shared" si="78"/>
        <v>44835</v>
      </c>
      <c r="AG5054" s="372">
        <v>44864</v>
      </c>
      <c r="AH5054">
        <v>4819.42</v>
      </c>
    </row>
    <row r="5055" spans="32:34">
      <c r="AF5055" s="367">
        <f t="shared" si="78"/>
        <v>44835</v>
      </c>
      <c r="AG5055" s="372">
        <v>44865</v>
      </c>
      <c r="AH5055">
        <v>4819.42</v>
      </c>
    </row>
    <row r="5056" spans="32:34">
      <c r="AF5056" s="367">
        <f t="shared" si="78"/>
        <v>44866</v>
      </c>
      <c r="AG5056" s="372">
        <v>44866</v>
      </c>
      <c r="AH5056">
        <v>4898.74</v>
      </c>
    </row>
    <row r="5057" spans="32:34">
      <c r="AF5057" s="367">
        <f t="shared" si="78"/>
        <v>44866</v>
      </c>
      <c r="AG5057" s="372">
        <v>44867</v>
      </c>
      <c r="AH5057">
        <v>4975.58</v>
      </c>
    </row>
    <row r="5058" spans="32:34">
      <c r="AF5058" s="367">
        <f t="shared" si="78"/>
        <v>44866</v>
      </c>
      <c r="AG5058" s="372">
        <v>44868</v>
      </c>
      <c r="AH5058">
        <v>5015.84</v>
      </c>
    </row>
    <row r="5059" spans="32:34">
      <c r="AF5059" s="367">
        <f t="shared" si="78"/>
        <v>44866</v>
      </c>
      <c r="AG5059" s="372">
        <v>44869</v>
      </c>
      <c r="AH5059">
        <v>5058.0200000000004</v>
      </c>
    </row>
    <row r="5060" spans="32:34">
      <c r="AF5060" s="367">
        <f t="shared" ref="AF5060:AF5123" si="79">+DATE(YEAR(AG5060),MONTH(AG5060),1)</f>
        <v>44866</v>
      </c>
      <c r="AG5060" s="372">
        <v>44870</v>
      </c>
      <c r="AH5060">
        <v>5061.21</v>
      </c>
    </row>
    <row r="5061" spans="32:34">
      <c r="AF5061" s="367">
        <f t="shared" si="79"/>
        <v>44866</v>
      </c>
      <c r="AG5061" s="372">
        <v>44871</v>
      </c>
      <c r="AH5061">
        <v>5061.21</v>
      </c>
    </row>
    <row r="5062" spans="32:34">
      <c r="AF5062" s="367">
        <f t="shared" si="79"/>
        <v>44866</v>
      </c>
      <c r="AG5062" s="372">
        <v>44872</v>
      </c>
      <c r="AH5062">
        <v>5061.21</v>
      </c>
    </row>
    <row r="5063" spans="32:34">
      <c r="AF5063" s="367">
        <f t="shared" si="79"/>
        <v>44866</v>
      </c>
      <c r="AG5063" s="372">
        <v>44873</v>
      </c>
      <c r="AH5063">
        <v>5061.21</v>
      </c>
    </row>
    <row r="5064" spans="32:34">
      <c r="AF5064" s="367">
        <f t="shared" si="79"/>
        <v>44866</v>
      </c>
      <c r="AG5064" s="372">
        <v>44874</v>
      </c>
      <c r="AH5064">
        <v>5013.2</v>
      </c>
    </row>
    <row r="5065" spans="32:34">
      <c r="AF5065" s="367">
        <f t="shared" si="79"/>
        <v>44866</v>
      </c>
      <c r="AG5065" s="372">
        <v>44875</v>
      </c>
      <c r="AH5065">
        <v>4914.71</v>
      </c>
    </row>
    <row r="5066" spans="32:34">
      <c r="AF5066" s="367">
        <f t="shared" si="79"/>
        <v>44866</v>
      </c>
      <c r="AG5066" s="372">
        <v>44876</v>
      </c>
      <c r="AH5066">
        <v>4806.07</v>
      </c>
    </row>
    <row r="5067" spans="32:34">
      <c r="AF5067" s="367">
        <f t="shared" si="79"/>
        <v>44866</v>
      </c>
      <c r="AG5067" s="372">
        <v>44877</v>
      </c>
      <c r="AH5067">
        <v>4806.07</v>
      </c>
    </row>
    <row r="5068" spans="32:34">
      <c r="AF5068" s="367">
        <f t="shared" si="79"/>
        <v>44866</v>
      </c>
      <c r="AG5068" s="372">
        <v>44878</v>
      </c>
      <c r="AH5068">
        <v>4806.07</v>
      </c>
    </row>
    <row r="5069" spans="32:34">
      <c r="AF5069" s="367">
        <f t="shared" si="79"/>
        <v>44866</v>
      </c>
      <c r="AG5069" s="372">
        <v>44879</v>
      </c>
      <c r="AH5069">
        <v>4806.07</v>
      </c>
    </row>
    <row r="5070" spans="32:34">
      <c r="AF5070" s="367">
        <f t="shared" si="79"/>
        <v>44866</v>
      </c>
      <c r="AG5070" s="372">
        <v>44880</v>
      </c>
      <c r="AH5070">
        <v>4806.07</v>
      </c>
    </row>
    <row r="5071" spans="32:34">
      <c r="AF5071" s="367">
        <f t="shared" si="79"/>
        <v>44866</v>
      </c>
      <c r="AG5071" s="372">
        <v>44881</v>
      </c>
      <c r="AH5071">
        <v>4801.0600000000004</v>
      </c>
    </row>
    <row r="5072" spans="32:34">
      <c r="AF5072" s="367">
        <f t="shared" si="79"/>
        <v>44866</v>
      </c>
      <c r="AG5072" s="372">
        <v>44882</v>
      </c>
      <c r="AH5072">
        <v>4922.7</v>
      </c>
    </row>
    <row r="5073" spans="32:34">
      <c r="AF5073" s="367">
        <f t="shared" si="79"/>
        <v>44866</v>
      </c>
      <c r="AG5073" s="372">
        <v>44883</v>
      </c>
      <c r="AH5073">
        <v>5022.03</v>
      </c>
    </row>
    <row r="5074" spans="32:34">
      <c r="AF5074" s="367">
        <f t="shared" si="79"/>
        <v>44866</v>
      </c>
      <c r="AG5074" s="372">
        <v>44884</v>
      </c>
      <c r="AH5074">
        <v>4994.6099999999997</v>
      </c>
    </row>
    <row r="5075" spans="32:34">
      <c r="AF5075" s="367">
        <f t="shared" si="79"/>
        <v>44866</v>
      </c>
      <c r="AG5075" s="372">
        <v>44885</v>
      </c>
      <c r="AH5075">
        <v>4994.6099999999997</v>
      </c>
    </row>
    <row r="5076" spans="32:34">
      <c r="AF5076" s="367">
        <f t="shared" si="79"/>
        <v>44866</v>
      </c>
      <c r="AG5076" s="372">
        <v>44886</v>
      </c>
      <c r="AH5076">
        <v>4994.6099999999997</v>
      </c>
    </row>
    <row r="5077" spans="32:34">
      <c r="AF5077" s="367">
        <f t="shared" si="79"/>
        <v>44866</v>
      </c>
      <c r="AG5077" s="372">
        <v>44887</v>
      </c>
      <c r="AH5077">
        <v>4958.42</v>
      </c>
    </row>
    <row r="5078" spans="32:34">
      <c r="AF5078" s="367">
        <f t="shared" si="79"/>
        <v>44866</v>
      </c>
      <c r="AG5078" s="372">
        <v>44888</v>
      </c>
      <c r="AH5078">
        <v>4914.34</v>
      </c>
    </row>
    <row r="5079" spans="32:34">
      <c r="AF5079" s="367">
        <f t="shared" si="79"/>
        <v>44866</v>
      </c>
      <c r="AG5079" s="372">
        <v>44889</v>
      </c>
      <c r="AH5079">
        <v>4875.91</v>
      </c>
    </row>
    <row r="5080" spans="32:34">
      <c r="AF5080" s="367">
        <f t="shared" si="79"/>
        <v>44866</v>
      </c>
      <c r="AG5080" s="372">
        <v>44890</v>
      </c>
      <c r="AH5080">
        <v>4875.91</v>
      </c>
    </row>
    <row r="5081" spans="32:34">
      <c r="AF5081" s="367">
        <f t="shared" si="79"/>
        <v>44866</v>
      </c>
      <c r="AG5081" s="372">
        <v>44891</v>
      </c>
      <c r="AH5081">
        <v>4881.41</v>
      </c>
    </row>
    <row r="5082" spans="32:34">
      <c r="AF5082" s="367">
        <f t="shared" si="79"/>
        <v>44866</v>
      </c>
      <c r="AG5082" s="372">
        <v>44892</v>
      </c>
      <c r="AH5082">
        <v>4881.41</v>
      </c>
    </row>
    <row r="5083" spans="32:34">
      <c r="AF5083" s="367">
        <f t="shared" si="79"/>
        <v>44866</v>
      </c>
      <c r="AG5083" s="372">
        <v>44893</v>
      </c>
      <c r="AH5083">
        <v>4881.41</v>
      </c>
    </row>
    <row r="5084" spans="32:34">
      <c r="AF5084" s="367">
        <f t="shared" si="79"/>
        <v>44866</v>
      </c>
      <c r="AG5084" s="372">
        <v>44894</v>
      </c>
      <c r="AH5084">
        <v>4840.6000000000004</v>
      </c>
    </row>
    <row r="5085" spans="32:34">
      <c r="AF5085" s="367">
        <f t="shared" si="79"/>
        <v>44866</v>
      </c>
      <c r="AG5085" s="372">
        <v>44895</v>
      </c>
      <c r="AH5085">
        <v>4809.51</v>
      </c>
    </row>
    <row r="5086" spans="32:34">
      <c r="AF5086" s="367">
        <f t="shared" si="79"/>
        <v>44896</v>
      </c>
      <c r="AG5086" s="372">
        <v>44896</v>
      </c>
      <c r="AH5086">
        <v>4815.59</v>
      </c>
    </row>
    <row r="5087" spans="32:34">
      <c r="AF5087" s="367">
        <f t="shared" si="79"/>
        <v>44896</v>
      </c>
      <c r="AG5087" s="372">
        <v>44897</v>
      </c>
      <c r="AH5087">
        <v>4779.0600000000004</v>
      </c>
    </row>
    <row r="5088" spans="32:34">
      <c r="AF5088" s="367">
        <f t="shared" si="79"/>
        <v>44896</v>
      </c>
      <c r="AG5088" s="372">
        <v>44898</v>
      </c>
      <c r="AH5088">
        <v>4767.1899999999996</v>
      </c>
    </row>
    <row r="5089" spans="32:34">
      <c r="AF5089" s="367">
        <f t="shared" si="79"/>
        <v>44896</v>
      </c>
      <c r="AG5089" s="372">
        <v>44899</v>
      </c>
      <c r="AH5089">
        <v>4767.1899999999996</v>
      </c>
    </row>
    <row r="5090" spans="32:34">
      <c r="AF5090" s="367">
        <f t="shared" si="79"/>
        <v>44896</v>
      </c>
      <c r="AG5090" s="372">
        <v>44900</v>
      </c>
      <c r="AH5090">
        <v>4767.1899999999996</v>
      </c>
    </row>
    <row r="5091" spans="32:34">
      <c r="AF5091" s="367">
        <f t="shared" si="79"/>
        <v>44896</v>
      </c>
      <c r="AG5091" s="372">
        <v>44901</v>
      </c>
      <c r="AH5091">
        <v>4812.37</v>
      </c>
    </row>
    <row r="5092" spans="32:34">
      <c r="AF5092" s="367">
        <f t="shared" si="79"/>
        <v>44896</v>
      </c>
      <c r="AG5092" s="372">
        <v>44902</v>
      </c>
      <c r="AH5092">
        <v>4818.32</v>
      </c>
    </row>
    <row r="5093" spans="32:34">
      <c r="AF5093" s="367">
        <f t="shared" si="79"/>
        <v>44896</v>
      </c>
      <c r="AG5093" s="372">
        <v>44903</v>
      </c>
      <c r="AH5093">
        <v>4825.83</v>
      </c>
    </row>
    <row r="5094" spans="32:34">
      <c r="AF5094" s="367">
        <f t="shared" si="79"/>
        <v>44896</v>
      </c>
      <c r="AG5094" s="372">
        <v>44904</v>
      </c>
      <c r="AH5094">
        <v>4825.83</v>
      </c>
    </row>
    <row r="5095" spans="32:34">
      <c r="AF5095" s="367">
        <f t="shared" si="79"/>
        <v>44896</v>
      </c>
      <c r="AG5095" s="372">
        <v>44905</v>
      </c>
      <c r="AH5095">
        <v>4815.99</v>
      </c>
    </row>
    <row r="5096" spans="32:34">
      <c r="AF5096" s="367">
        <f t="shared" si="79"/>
        <v>44896</v>
      </c>
      <c r="AG5096" s="372">
        <v>44906</v>
      </c>
      <c r="AH5096">
        <v>4815.99</v>
      </c>
    </row>
    <row r="5097" spans="32:34">
      <c r="AF5097" s="367">
        <f t="shared" si="79"/>
        <v>44896</v>
      </c>
      <c r="AG5097" s="372">
        <v>44907</v>
      </c>
      <c r="AH5097">
        <v>4815.99</v>
      </c>
    </row>
    <row r="5098" spans="32:34">
      <c r="AF5098" s="367">
        <f t="shared" si="79"/>
        <v>44896</v>
      </c>
      <c r="AG5098" s="372">
        <v>44908</v>
      </c>
      <c r="AH5098">
        <v>4836.24</v>
      </c>
    </row>
    <row r="5099" spans="32:34">
      <c r="AF5099" s="367">
        <f t="shared" si="79"/>
        <v>44896</v>
      </c>
      <c r="AG5099" s="372">
        <v>44909</v>
      </c>
      <c r="AH5099">
        <v>4791.57</v>
      </c>
    </row>
    <row r="5100" spans="32:34">
      <c r="AF5100" s="367">
        <f t="shared" si="79"/>
        <v>44896</v>
      </c>
      <c r="AG5100" s="372">
        <v>44910</v>
      </c>
      <c r="AH5100">
        <v>4778.28</v>
      </c>
    </row>
    <row r="5101" spans="32:34">
      <c r="AF5101" s="367">
        <f t="shared" si="79"/>
        <v>44896</v>
      </c>
      <c r="AG5101" s="372">
        <v>44911</v>
      </c>
      <c r="AH5101">
        <v>4797.0200000000004</v>
      </c>
    </row>
    <row r="5102" spans="32:34">
      <c r="AF5102" s="367">
        <f t="shared" si="79"/>
        <v>44896</v>
      </c>
      <c r="AG5102" s="372">
        <v>44912</v>
      </c>
      <c r="AH5102">
        <v>4802.4799999999996</v>
      </c>
    </row>
    <row r="5103" spans="32:34">
      <c r="AF5103" s="367">
        <f t="shared" si="79"/>
        <v>44896</v>
      </c>
      <c r="AG5103" s="372">
        <v>44913</v>
      </c>
      <c r="AH5103">
        <v>4802.4799999999996</v>
      </c>
    </row>
    <row r="5104" spans="32:34">
      <c r="AF5104" s="367">
        <f t="shared" si="79"/>
        <v>44896</v>
      </c>
      <c r="AG5104" s="372">
        <v>44914</v>
      </c>
      <c r="AH5104">
        <v>4802.4799999999996</v>
      </c>
    </row>
    <row r="5105" spans="32:34">
      <c r="AF5105" s="367">
        <f t="shared" si="79"/>
        <v>44896</v>
      </c>
      <c r="AG5105" s="372">
        <v>44915</v>
      </c>
      <c r="AH5105">
        <v>4781.28</v>
      </c>
    </row>
    <row r="5106" spans="32:34">
      <c r="AF5106" s="367">
        <f t="shared" si="79"/>
        <v>44896</v>
      </c>
      <c r="AG5106" s="372">
        <v>44916</v>
      </c>
      <c r="AH5106">
        <v>4769.29</v>
      </c>
    </row>
    <row r="5107" spans="32:34">
      <c r="AF5107" s="367">
        <f t="shared" si="79"/>
        <v>44896</v>
      </c>
      <c r="AG5107" s="372">
        <v>44917</v>
      </c>
      <c r="AH5107">
        <v>4761.6400000000003</v>
      </c>
    </row>
    <row r="5108" spans="32:34">
      <c r="AF5108" s="367">
        <f t="shared" si="79"/>
        <v>44896</v>
      </c>
      <c r="AG5108" s="372">
        <v>44918</v>
      </c>
      <c r="AH5108">
        <v>4760.6099999999997</v>
      </c>
    </row>
    <row r="5109" spans="32:34">
      <c r="AF5109" s="367">
        <f t="shared" si="79"/>
        <v>44896</v>
      </c>
      <c r="AG5109" s="372">
        <v>44919</v>
      </c>
      <c r="AH5109">
        <v>4745.04</v>
      </c>
    </row>
    <row r="5110" spans="32:34">
      <c r="AF5110" s="367">
        <f t="shared" si="79"/>
        <v>44896</v>
      </c>
      <c r="AG5110" s="372">
        <v>44920</v>
      </c>
      <c r="AH5110">
        <v>4745.04</v>
      </c>
    </row>
    <row r="5111" spans="32:34">
      <c r="AF5111" s="367">
        <f t="shared" si="79"/>
        <v>44896</v>
      </c>
      <c r="AG5111" s="372">
        <v>44921</v>
      </c>
      <c r="AH5111">
        <v>4745.04</v>
      </c>
    </row>
    <row r="5112" spans="32:34">
      <c r="AF5112" s="367">
        <f t="shared" si="79"/>
        <v>44896</v>
      </c>
      <c r="AG5112" s="372">
        <v>44922</v>
      </c>
      <c r="AH5112">
        <v>4745.04</v>
      </c>
    </row>
    <row r="5113" spans="32:34">
      <c r="AF5113" s="367">
        <f t="shared" si="79"/>
        <v>44896</v>
      </c>
      <c r="AG5113" s="372">
        <v>44923</v>
      </c>
      <c r="AH5113">
        <v>4766.82</v>
      </c>
    </row>
    <row r="5114" spans="32:34">
      <c r="AF5114" s="367">
        <f t="shared" si="79"/>
        <v>44896</v>
      </c>
      <c r="AG5114" s="372">
        <v>44924</v>
      </c>
      <c r="AH5114">
        <v>4765.92</v>
      </c>
    </row>
    <row r="5115" spans="32:34">
      <c r="AF5115" s="367">
        <f t="shared" si="79"/>
        <v>44896</v>
      </c>
      <c r="AG5115" s="372">
        <v>44925</v>
      </c>
      <c r="AH5115">
        <v>4810.2</v>
      </c>
    </row>
    <row r="5116" spans="32:34">
      <c r="AF5116" s="367">
        <f t="shared" si="79"/>
        <v>44896</v>
      </c>
      <c r="AG5116" s="372">
        <v>44926</v>
      </c>
      <c r="AH5116">
        <v>4810.2</v>
      </c>
    </row>
    <row r="5117" spans="32:34">
      <c r="AF5117" s="367">
        <f t="shared" si="79"/>
        <v>44927</v>
      </c>
      <c r="AG5117" s="372">
        <v>44927</v>
      </c>
      <c r="AH5117">
        <v>4810.2</v>
      </c>
    </row>
    <row r="5118" spans="32:34">
      <c r="AF5118" s="367">
        <f t="shared" si="79"/>
        <v>44927</v>
      </c>
      <c r="AG5118" s="372">
        <v>44928</v>
      </c>
      <c r="AH5118">
        <v>4810.2</v>
      </c>
    </row>
    <row r="5119" spans="32:34">
      <c r="AF5119" s="367">
        <f t="shared" si="79"/>
        <v>44927</v>
      </c>
      <c r="AG5119" s="372">
        <v>44929</v>
      </c>
      <c r="AH5119">
        <v>4810.2</v>
      </c>
    </row>
    <row r="5120" spans="32:34">
      <c r="AF5120" s="367">
        <f t="shared" si="79"/>
        <v>44927</v>
      </c>
      <c r="AG5120" s="372">
        <v>44930</v>
      </c>
      <c r="AH5120">
        <v>4842.26</v>
      </c>
    </row>
    <row r="5121" spans="32:34">
      <c r="AF5121" s="367">
        <f t="shared" si="79"/>
        <v>44927</v>
      </c>
      <c r="AG5121" s="372">
        <v>44931</v>
      </c>
      <c r="AH5121">
        <v>4924</v>
      </c>
    </row>
    <row r="5122" spans="32:34">
      <c r="AF5122" s="367">
        <f t="shared" si="79"/>
        <v>44927</v>
      </c>
      <c r="AG5122" s="372">
        <v>44932</v>
      </c>
      <c r="AH5122">
        <v>4989.58</v>
      </c>
    </row>
    <row r="5123" spans="32:34">
      <c r="AF5123" s="367">
        <f t="shared" si="79"/>
        <v>44927</v>
      </c>
      <c r="AG5123" s="372">
        <v>44933</v>
      </c>
      <c r="AH5123">
        <v>4885.66</v>
      </c>
    </row>
    <row r="5124" spans="32:34">
      <c r="AF5124" s="367">
        <f t="shared" ref="AF5124:AF5187" si="80">+DATE(YEAR(AG5124),MONTH(AG5124),1)</f>
        <v>44927</v>
      </c>
      <c r="AG5124" s="372">
        <v>44934</v>
      </c>
      <c r="AH5124">
        <v>4885.66</v>
      </c>
    </row>
    <row r="5125" spans="32:34">
      <c r="AF5125" s="367">
        <f t="shared" si="80"/>
        <v>44927</v>
      </c>
      <c r="AG5125" s="372">
        <v>44935</v>
      </c>
      <c r="AH5125">
        <v>4885.66</v>
      </c>
    </row>
    <row r="5126" spans="32:34">
      <c r="AF5126" s="367">
        <f t="shared" si="80"/>
        <v>44927</v>
      </c>
      <c r="AG5126" s="372">
        <v>44936</v>
      </c>
      <c r="AH5126">
        <v>4885.66</v>
      </c>
    </row>
    <row r="5127" spans="32:34">
      <c r="AF5127" s="367">
        <f t="shared" si="80"/>
        <v>44927</v>
      </c>
      <c r="AG5127" s="372">
        <v>44937</v>
      </c>
      <c r="AH5127">
        <v>4807.8500000000004</v>
      </c>
    </row>
    <row r="5128" spans="32:34">
      <c r="AF5128" s="367">
        <f t="shared" si="80"/>
        <v>44927</v>
      </c>
      <c r="AG5128" s="372">
        <v>44938</v>
      </c>
      <c r="AH5128">
        <v>4748.54</v>
      </c>
    </row>
    <row r="5129" spans="32:34">
      <c r="AF5129" s="367">
        <f t="shared" si="80"/>
        <v>44927</v>
      </c>
      <c r="AG5129" s="372">
        <v>44939</v>
      </c>
      <c r="AH5129">
        <v>4692.04</v>
      </c>
    </row>
    <row r="5130" spans="32:34">
      <c r="AF5130" s="367">
        <f t="shared" si="80"/>
        <v>44927</v>
      </c>
      <c r="AG5130" s="372">
        <v>44940</v>
      </c>
      <c r="AH5130">
        <v>4693.99</v>
      </c>
    </row>
    <row r="5131" spans="32:34">
      <c r="AF5131" s="367">
        <f t="shared" si="80"/>
        <v>44927</v>
      </c>
      <c r="AG5131" s="372">
        <v>44941</v>
      </c>
      <c r="AH5131">
        <v>4693.99</v>
      </c>
    </row>
    <row r="5132" spans="32:34">
      <c r="AF5132" s="367">
        <f t="shared" si="80"/>
        <v>44927</v>
      </c>
      <c r="AG5132" s="372">
        <v>44942</v>
      </c>
      <c r="AH5132">
        <v>4693.99</v>
      </c>
    </row>
    <row r="5133" spans="32:34">
      <c r="AF5133" s="367">
        <f t="shared" si="80"/>
        <v>44927</v>
      </c>
      <c r="AG5133" s="372">
        <v>44943</v>
      </c>
      <c r="AH5133">
        <v>4693.99</v>
      </c>
    </row>
    <row r="5134" spans="32:34">
      <c r="AF5134" s="367">
        <f t="shared" si="80"/>
        <v>44927</v>
      </c>
      <c r="AG5134" s="372">
        <v>44944</v>
      </c>
      <c r="AH5134">
        <v>4691.09</v>
      </c>
    </row>
    <row r="5135" spans="32:34">
      <c r="AF5135" s="367">
        <f t="shared" si="80"/>
        <v>44927</v>
      </c>
      <c r="AG5135" s="372">
        <v>44945</v>
      </c>
      <c r="AH5135">
        <v>4702.67</v>
      </c>
    </row>
    <row r="5136" spans="32:34">
      <c r="AF5136" s="367">
        <f t="shared" si="80"/>
        <v>44927</v>
      </c>
      <c r="AG5136" s="372">
        <v>44946</v>
      </c>
      <c r="AH5136">
        <v>4683.8500000000004</v>
      </c>
    </row>
    <row r="5137" spans="32:34">
      <c r="AF5137" s="367">
        <f t="shared" si="80"/>
        <v>44927</v>
      </c>
      <c r="AG5137" s="372">
        <v>44947</v>
      </c>
      <c r="AH5137">
        <v>4631.6400000000003</v>
      </c>
    </row>
    <row r="5138" spans="32:34">
      <c r="AF5138" s="367">
        <f t="shared" si="80"/>
        <v>44927</v>
      </c>
      <c r="AG5138" s="372">
        <v>44948</v>
      </c>
      <c r="AH5138">
        <v>4631.6400000000003</v>
      </c>
    </row>
    <row r="5139" spans="32:34">
      <c r="AF5139" s="367">
        <f t="shared" si="80"/>
        <v>44927</v>
      </c>
      <c r="AG5139" s="372">
        <v>44949</v>
      </c>
      <c r="AH5139">
        <v>4631.6400000000003</v>
      </c>
    </row>
    <row r="5140" spans="32:34">
      <c r="AF5140" s="367">
        <f t="shared" si="80"/>
        <v>44927</v>
      </c>
      <c r="AG5140" s="372">
        <v>44950</v>
      </c>
      <c r="AH5140">
        <v>4551.0200000000004</v>
      </c>
    </row>
    <row r="5141" spans="32:34">
      <c r="AF5141" s="367">
        <f t="shared" si="80"/>
        <v>44927</v>
      </c>
      <c r="AG5141" s="372">
        <v>44951</v>
      </c>
      <c r="AH5141">
        <v>4545.9399999999996</v>
      </c>
    </row>
    <row r="5142" spans="32:34">
      <c r="AF5142" s="367">
        <f t="shared" si="80"/>
        <v>44927</v>
      </c>
      <c r="AG5142" s="372">
        <v>44952</v>
      </c>
      <c r="AH5142">
        <v>4538.91</v>
      </c>
    </row>
    <row r="5143" spans="32:34">
      <c r="AF5143" s="367">
        <f t="shared" si="80"/>
        <v>44927</v>
      </c>
      <c r="AG5143" s="372">
        <v>44953</v>
      </c>
      <c r="AH5143">
        <v>4531.75</v>
      </c>
    </row>
    <row r="5144" spans="32:34">
      <c r="AF5144" s="367">
        <f t="shared" si="80"/>
        <v>44927</v>
      </c>
      <c r="AG5144" s="372">
        <v>44954</v>
      </c>
      <c r="AH5144">
        <v>4548.5</v>
      </c>
    </row>
    <row r="5145" spans="32:34">
      <c r="AF5145" s="367">
        <f t="shared" si="80"/>
        <v>44927</v>
      </c>
      <c r="AG5145" s="372">
        <v>44955</v>
      </c>
      <c r="AH5145">
        <v>4548.5</v>
      </c>
    </row>
    <row r="5146" spans="32:34">
      <c r="AF5146" s="367">
        <f t="shared" si="80"/>
        <v>44927</v>
      </c>
      <c r="AG5146" s="372">
        <v>44956</v>
      </c>
      <c r="AH5146">
        <v>4548.5</v>
      </c>
    </row>
    <row r="5147" spans="32:34">
      <c r="AF5147" s="367">
        <f t="shared" si="80"/>
        <v>44927</v>
      </c>
      <c r="AG5147" s="372">
        <v>44957</v>
      </c>
      <c r="AH5147">
        <v>4632.2</v>
      </c>
    </row>
    <row r="5148" spans="32:34">
      <c r="AF5148" s="367">
        <f t="shared" si="80"/>
        <v>44958</v>
      </c>
      <c r="AG5148" s="372">
        <v>44958</v>
      </c>
      <c r="AH5148">
        <v>4648.7</v>
      </c>
    </row>
    <row r="5149" spans="32:34">
      <c r="AF5149" s="367">
        <f t="shared" si="80"/>
        <v>44958</v>
      </c>
      <c r="AG5149" s="372">
        <v>44959</v>
      </c>
      <c r="AH5149">
        <v>4639.04</v>
      </c>
    </row>
    <row r="5150" spans="32:34">
      <c r="AF5150" s="367">
        <f t="shared" si="80"/>
        <v>44958</v>
      </c>
      <c r="AG5150" s="372">
        <v>44960</v>
      </c>
      <c r="AH5150">
        <v>4584.4399999999996</v>
      </c>
    </row>
    <row r="5151" spans="32:34">
      <c r="AF5151" s="367">
        <f t="shared" si="80"/>
        <v>44958</v>
      </c>
      <c r="AG5151" s="372">
        <v>44961</v>
      </c>
      <c r="AH5151">
        <v>4669.74</v>
      </c>
    </row>
    <row r="5152" spans="32:34">
      <c r="AF5152" s="367">
        <f t="shared" si="80"/>
        <v>44958</v>
      </c>
      <c r="AG5152" s="372">
        <v>44962</v>
      </c>
      <c r="AH5152">
        <v>4669.74</v>
      </c>
    </row>
    <row r="5153" spans="32:34">
      <c r="AF5153" s="367">
        <f t="shared" si="80"/>
        <v>44958</v>
      </c>
      <c r="AG5153" s="372">
        <v>44963</v>
      </c>
      <c r="AH5153">
        <v>4669.74</v>
      </c>
    </row>
    <row r="5154" spans="32:34">
      <c r="AF5154" s="367">
        <f t="shared" si="80"/>
        <v>44958</v>
      </c>
      <c r="AG5154" s="372">
        <v>44964</v>
      </c>
      <c r="AH5154">
        <v>4776.25</v>
      </c>
    </row>
    <row r="5155" spans="32:34">
      <c r="AF5155" s="367">
        <f t="shared" si="80"/>
        <v>44958</v>
      </c>
      <c r="AG5155" s="372">
        <v>44965</v>
      </c>
      <c r="AH5155">
        <v>4775.99</v>
      </c>
    </row>
    <row r="5156" spans="32:34">
      <c r="AF5156" s="367">
        <f t="shared" si="80"/>
        <v>44958</v>
      </c>
      <c r="AG5156" s="372">
        <v>44966</v>
      </c>
      <c r="AH5156">
        <v>4769.8500000000004</v>
      </c>
    </row>
    <row r="5157" spans="32:34">
      <c r="AF5157" s="367">
        <f t="shared" si="80"/>
        <v>44958</v>
      </c>
      <c r="AG5157" s="372">
        <v>44967</v>
      </c>
      <c r="AH5157">
        <v>4742.05</v>
      </c>
    </row>
    <row r="5158" spans="32:34">
      <c r="AF5158" s="367">
        <f t="shared" si="80"/>
        <v>44958</v>
      </c>
      <c r="AG5158" s="372">
        <v>44968</v>
      </c>
      <c r="AH5158">
        <v>4777.7299999999996</v>
      </c>
    </row>
    <row r="5159" spans="32:34">
      <c r="AF5159" s="367">
        <f t="shared" si="80"/>
        <v>44958</v>
      </c>
      <c r="AG5159" s="372">
        <v>44969</v>
      </c>
      <c r="AH5159">
        <v>4777.7299999999996</v>
      </c>
    </row>
    <row r="5160" spans="32:34">
      <c r="AF5160" s="367">
        <f t="shared" si="80"/>
        <v>44958</v>
      </c>
      <c r="AG5160" s="372">
        <v>44970</v>
      </c>
      <c r="AH5160">
        <v>4777.7299999999996</v>
      </c>
    </row>
    <row r="5161" spans="32:34">
      <c r="AF5161" s="367">
        <f t="shared" si="80"/>
        <v>44958</v>
      </c>
      <c r="AG5161" s="372">
        <v>44971</v>
      </c>
      <c r="AH5161">
        <v>4818.62</v>
      </c>
    </row>
    <row r="5162" spans="32:34">
      <c r="AF5162" s="367">
        <f t="shared" si="80"/>
        <v>44958</v>
      </c>
      <c r="AG5162" s="372">
        <v>44972</v>
      </c>
      <c r="AH5162">
        <v>4783.24</v>
      </c>
    </row>
    <row r="5163" spans="32:34">
      <c r="AF5163" s="367">
        <f t="shared" si="80"/>
        <v>44958</v>
      </c>
      <c r="AG5163" s="372">
        <v>44973</v>
      </c>
      <c r="AH5163">
        <v>4878.24</v>
      </c>
    </row>
    <row r="5164" spans="32:34">
      <c r="AF5164" s="367">
        <f t="shared" si="80"/>
        <v>44958</v>
      </c>
      <c r="AG5164" s="372">
        <v>44974</v>
      </c>
      <c r="AH5164">
        <v>4966.33</v>
      </c>
    </row>
    <row r="5165" spans="32:34">
      <c r="AF5165" s="367">
        <f t="shared" si="80"/>
        <v>44958</v>
      </c>
      <c r="AG5165" s="372">
        <v>44975</v>
      </c>
      <c r="AH5165">
        <v>4918.9399999999996</v>
      </c>
    </row>
    <row r="5166" spans="32:34">
      <c r="AF5166" s="367">
        <f t="shared" si="80"/>
        <v>44958</v>
      </c>
      <c r="AG5166" s="372">
        <v>44976</v>
      </c>
      <c r="AH5166">
        <v>4918.9399999999996</v>
      </c>
    </row>
    <row r="5167" spans="32:34">
      <c r="AF5167" s="367">
        <f t="shared" si="80"/>
        <v>44958</v>
      </c>
      <c r="AG5167" s="372">
        <v>44977</v>
      </c>
      <c r="AH5167">
        <v>4918.9399999999996</v>
      </c>
    </row>
    <row r="5168" spans="32:34">
      <c r="AF5168" s="367">
        <f t="shared" si="80"/>
        <v>44958</v>
      </c>
      <c r="AG5168" s="372">
        <v>44978</v>
      </c>
      <c r="AH5168">
        <v>4918.9399999999996</v>
      </c>
    </row>
    <row r="5169" spans="32:34">
      <c r="AF5169" s="367">
        <f t="shared" si="80"/>
        <v>44958</v>
      </c>
      <c r="AG5169" s="372">
        <v>44979</v>
      </c>
      <c r="AH5169">
        <v>4950.33</v>
      </c>
    </row>
    <row r="5170" spans="32:34">
      <c r="AF5170" s="367">
        <f t="shared" si="80"/>
        <v>44958</v>
      </c>
      <c r="AG5170" s="372">
        <v>44980</v>
      </c>
      <c r="AH5170">
        <v>4924.91</v>
      </c>
    </row>
    <row r="5171" spans="32:34">
      <c r="AF5171" s="367">
        <f t="shared" si="80"/>
        <v>44958</v>
      </c>
      <c r="AG5171" s="372">
        <v>44981</v>
      </c>
      <c r="AH5171">
        <v>4853.8999999999996</v>
      </c>
    </row>
    <row r="5172" spans="32:34">
      <c r="AF5172" s="367">
        <f t="shared" si="80"/>
        <v>44958</v>
      </c>
      <c r="AG5172" s="372">
        <v>44982</v>
      </c>
      <c r="AH5172">
        <v>4849.6499999999996</v>
      </c>
    </row>
    <row r="5173" spans="32:34">
      <c r="AF5173" s="367">
        <f t="shared" si="80"/>
        <v>44958</v>
      </c>
      <c r="AG5173" s="372">
        <v>44983</v>
      </c>
      <c r="AH5173">
        <v>4849.6499999999996</v>
      </c>
    </row>
    <row r="5174" spans="32:34">
      <c r="AF5174" s="367">
        <f t="shared" si="80"/>
        <v>44958</v>
      </c>
      <c r="AG5174" s="372">
        <v>44984</v>
      </c>
      <c r="AH5174">
        <v>4849.6499999999996</v>
      </c>
    </row>
    <row r="5175" spans="32:34">
      <c r="AF5175" s="367">
        <f t="shared" si="80"/>
        <v>44958</v>
      </c>
      <c r="AG5175" s="372">
        <v>44985</v>
      </c>
      <c r="AH5175">
        <v>4808.1400000000003</v>
      </c>
    </row>
    <row r="5176" spans="32:34">
      <c r="AF5176" s="367">
        <f t="shared" si="80"/>
        <v>44986</v>
      </c>
      <c r="AG5176" s="372">
        <v>44986</v>
      </c>
      <c r="AH5176">
        <v>4814.1099999999997</v>
      </c>
    </row>
    <row r="5177" spans="32:34">
      <c r="AF5177" s="367">
        <f t="shared" si="80"/>
        <v>44986</v>
      </c>
      <c r="AG5177" s="372">
        <v>44987</v>
      </c>
      <c r="AH5177">
        <v>4848.78</v>
      </c>
    </row>
    <row r="5178" spans="32:34">
      <c r="AF5178" s="367">
        <f t="shared" si="80"/>
        <v>44986</v>
      </c>
      <c r="AG5178" s="372">
        <v>44988</v>
      </c>
      <c r="AH5178">
        <v>4855.83</v>
      </c>
    </row>
    <row r="5179" spans="32:34">
      <c r="AF5179" s="367">
        <f t="shared" si="80"/>
        <v>44986</v>
      </c>
      <c r="AG5179" s="372">
        <v>44989</v>
      </c>
      <c r="AH5179">
        <v>4780.8900000000003</v>
      </c>
    </row>
    <row r="5180" spans="32:34">
      <c r="AF5180" s="367">
        <f t="shared" si="80"/>
        <v>44986</v>
      </c>
      <c r="AG5180" s="372">
        <v>44990</v>
      </c>
      <c r="AH5180">
        <v>4780.8900000000003</v>
      </c>
    </row>
    <row r="5181" spans="32:34">
      <c r="AF5181" s="367">
        <f t="shared" si="80"/>
        <v>44986</v>
      </c>
      <c r="AG5181" s="372">
        <v>44991</v>
      </c>
      <c r="AH5181">
        <v>4780.8900000000003</v>
      </c>
    </row>
    <row r="5182" spans="32:34">
      <c r="AF5182" s="367">
        <f t="shared" si="80"/>
        <v>44986</v>
      </c>
      <c r="AG5182" s="372">
        <v>44992</v>
      </c>
      <c r="AH5182">
        <v>4734.42</v>
      </c>
    </row>
    <row r="5183" spans="32:34">
      <c r="AF5183" s="367">
        <f t="shared" si="80"/>
        <v>44986</v>
      </c>
      <c r="AG5183" s="372">
        <v>44993</v>
      </c>
      <c r="AH5183">
        <v>4744.95</v>
      </c>
    </row>
    <row r="5184" spans="32:34">
      <c r="AF5184" s="367">
        <f t="shared" si="80"/>
        <v>44986</v>
      </c>
      <c r="AG5184" s="372">
        <v>44994</v>
      </c>
      <c r="AH5184">
        <v>4755.59</v>
      </c>
    </row>
    <row r="5185" spans="32:34">
      <c r="AF5185" s="367">
        <f t="shared" si="80"/>
        <v>44986</v>
      </c>
      <c r="AG5185" s="372">
        <v>44995</v>
      </c>
      <c r="AH5185">
        <v>4748.6099999999997</v>
      </c>
    </row>
    <row r="5186" spans="32:34">
      <c r="AF5186" s="367">
        <f t="shared" si="80"/>
        <v>44986</v>
      </c>
      <c r="AG5186" s="372">
        <v>44996</v>
      </c>
      <c r="AH5186">
        <v>4748.1400000000003</v>
      </c>
    </row>
    <row r="5187" spans="32:34">
      <c r="AF5187" s="367">
        <f t="shared" si="80"/>
        <v>44986</v>
      </c>
      <c r="AG5187" s="372">
        <v>44997</v>
      </c>
      <c r="AH5187">
        <v>4748.1400000000003</v>
      </c>
    </row>
    <row r="5188" spans="32:34">
      <c r="AF5188" s="367">
        <f t="shared" ref="AF5188:AF5251" si="81">+DATE(YEAR(AG5188),MONTH(AG5188),1)</f>
        <v>44986</v>
      </c>
      <c r="AG5188" s="372">
        <v>44998</v>
      </c>
      <c r="AH5188">
        <v>4748.1400000000003</v>
      </c>
    </row>
    <row r="5189" spans="32:34">
      <c r="AF5189" s="367">
        <f t="shared" si="81"/>
        <v>44986</v>
      </c>
      <c r="AG5189" s="372">
        <v>44999</v>
      </c>
      <c r="AH5189">
        <v>4769.76</v>
      </c>
    </row>
    <row r="5190" spans="32:34">
      <c r="AF5190" s="367">
        <f t="shared" si="81"/>
        <v>44986</v>
      </c>
      <c r="AG5190" s="372">
        <v>45000</v>
      </c>
      <c r="AH5190">
        <v>4736.03</v>
      </c>
    </row>
    <row r="5191" spans="32:34">
      <c r="AF5191" s="367">
        <f t="shared" si="81"/>
        <v>44986</v>
      </c>
      <c r="AG5191" s="372">
        <v>45001</v>
      </c>
      <c r="AH5191">
        <v>4835.51</v>
      </c>
    </row>
    <row r="5192" spans="32:34">
      <c r="AF5192" s="367">
        <f t="shared" si="81"/>
        <v>44986</v>
      </c>
      <c r="AG5192" s="372">
        <v>45002</v>
      </c>
      <c r="AH5192">
        <v>4866.5</v>
      </c>
    </row>
    <row r="5193" spans="32:34">
      <c r="AF5193" s="367">
        <f t="shared" si="81"/>
        <v>44986</v>
      </c>
      <c r="AG5193" s="372">
        <v>45003</v>
      </c>
      <c r="AH5193">
        <v>4824.25</v>
      </c>
    </row>
    <row r="5194" spans="32:34">
      <c r="AF5194" s="367">
        <f t="shared" si="81"/>
        <v>44986</v>
      </c>
      <c r="AG5194" s="372">
        <v>45004</v>
      </c>
      <c r="AH5194">
        <v>4824.25</v>
      </c>
    </row>
    <row r="5195" spans="32:34">
      <c r="AF5195" s="367">
        <f t="shared" si="81"/>
        <v>44986</v>
      </c>
      <c r="AG5195" s="372">
        <v>45005</v>
      </c>
      <c r="AH5195">
        <v>4824.25</v>
      </c>
    </row>
    <row r="5196" spans="32:34">
      <c r="AF5196" s="367">
        <f t="shared" si="81"/>
        <v>44986</v>
      </c>
      <c r="AG5196" s="372">
        <v>45006</v>
      </c>
      <c r="AH5196">
        <v>4824.25</v>
      </c>
    </row>
    <row r="5197" spans="32:34">
      <c r="AF5197" s="367">
        <f t="shared" si="81"/>
        <v>44986</v>
      </c>
      <c r="AG5197" s="372">
        <v>45007</v>
      </c>
      <c r="AH5197">
        <v>4804.29</v>
      </c>
    </row>
    <row r="5198" spans="32:34">
      <c r="AF5198" s="367">
        <f t="shared" si="81"/>
        <v>44986</v>
      </c>
      <c r="AG5198" s="372">
        <v>45008</v>
      </c>
      <c r="AH5198">
        <v>4776.09</v>
      </c>
    </row>
    <row r="5199" spans="32:34">
      <c r="AF5199" s="367">
        <f t="shared" si="81"/>
        <v>44986</v>
      </c>
      <c r="AG5199" s="372">
        <v>45009</v>
      </c>
      <c r="AH5199">
        <v>4755.12</v>
      </c>
    </row>
    <row r="5200" spans="32:34">
      <c r="AF5200" s="367">
        <f t="shared" si="81"/>
        <v>44986</v>
      </c>
      <c r="AG5200" s="372">
        <v>45010</v>
      </c>
      <c r="AH5200">
        <v>4741.76</v>
      </c>
    </row>
    <row r="5201" spans="32:34">
      <c r="AF5201" s="367">
        <f t="shared" si="81"/>
        <v>44986</v>
      </c>
      <c r="AG5201" s="372">
        <v>45011</v>
      </c>
      <c r="AH5201">
        <v>4741.76</v>
      </c>
    </row>
    <row r="5202" spans="32:34">
      <c r="AF5202" s="367">
        <f t="shared" si="81"/>
        <v>44986</v>
      </c>
      <c r="AG5202" s="372">
        <v>45012</v>
      </c>
      <c r="AH5202">
        <v>4741.76</v>
      </c>
    </row>
    <row r="5203" spans="32:34">
      <c r="AF5203" s="367">
        <f t="shared" si="81"/>
        <v>44986</v>
      </c>
      <c r="AG5203" s="372">
        <v>45013</v>
      </c>
      <c r="AH5203">
        <v>4686.83</v>
      </c>
    </row>
    <row r="5204" spans="32:34">
      <c r="AF5204" s="367">
        <f t="shared" si="81"/>
        <v>44986</v>
      </c>
      <c r="AG5204" s="372">
        <v>45014</v>
      </c>
      <c r="AH5204">
        <v>4658.79</v>
      </c>
    </row>
    <row r="5205" spans="32:34">
      <c r="AF5205" s="367">
        <f t="shared" si="81"/>
        <v>44986</v>
      </c>
      <c r="AG5205" s="372">
        <v>45015</v>
      </c>
      <c r="AH5205">
        <v>4627.63</v>
      </c>
    </row>
    <row r="5206" spans="32:34">
      <c r="AF5206" s="367">
        <f t="shared" si="81"/>
        <v>44986</v>
      </c>
      <c r="AG5206" s="372">
        <v>45016</v>
      </c>
      <c r="AH5206">
        <v>4627.2700000000004</v>
      </c>
    </row>
    <row r="5207" spans="32:34">
      <c r="AF5207" s="367">
        <f t="shared" si="81"/>
        <v>45017</v>
      </c>
      <c r="AG5207" s="372">
        <v>45017</v>
      </c>
      <c r="AH5207">
        <v>4646.08</v>
      </c>
    </row>
    <row r="5208" spans="32:34">
      <c r="AF5208" s="367">
        <f t="shared" si="81"/>
        <v>45017</v>
      </c>
      <c r="AG5208" s="372">
        <v>45018</v>
      </c>
      <c r="AH5208">
        <v>4646.08</v>
      </c>
    </row>
    <row r="5209" spans="32:34">
      <c r="AF5209" s="367">
        <f t="shared" si="81"/>
        <v>45017</v>
      </c>
      <c r="AG5209" s="372">
        <v>45019</v>
      </c>
      <c r="AH5209">
        <v>4646.08</v>
      </c>
    </row>
    <row r="5210" spans="32:34">
      <c r="AF5210" s="367">
        <f t="shared" si="81"/>
        <v>45017</v>
      </c>
      <c r="AG5210" s="372">
        <v>45020</v>
      </c>
      <c r="AH5210">
        <v>4603</v>
      </c>
    </row>
    <row r="5211" spans="32:34">
      <c r="AF5211" s="367">
        <f t="shared" si="81"/>
        <v>45017</v>
      </c>
      <c r="AG5211" s="372">
        <v>45021</v>
      </c>
      <c r="AH5211">
        <v>4587.3100000000004</v>
      </c>
    </row>
    <row r="5212" spans="32:34">
      <c r="AF5212" s="367">
        <f t="shared" si="81"/>
        <v>45017</v>
      </c>
      <c r="AG5212" s="372">
        <v>45022</v>
      </c>
      <c r="AH5212">
        <v>4570.91</v>
      </c>
    </row>
    <row r="5213" spans="32:34">
      <c r="AF5213" s="367">
        <f t="shared" si="81"/>
        <v>45017</v>
      </c>
      <c r="AG5213" s="372">
        <v>45023</v>
      </c>
      <c r="AH5213">
        <v>4570.91</v>
      </c>
    </row>
    <row r="5214" spans="32:34">
      <c r="AF5214" s="367">
        <f t="shared" si="81"/>
        <v>45017</v>
      </c>
      <c r="AG5214" s="372">
        <v>45024</v>
      </c>
      <c r="AH5214">
        <v>4570.91</v>
      </c>
    </row>
    <row r="5215" spans="32:34">
      <c r="AF5215" s="367">
        <f t="shared" si="81"/>
        <v>45017</v>
      </c>
      <c r="AG5215" s="372">
        <v>45025</v>
      </c>
      <c r="AH5215">
        <v>4570.91</v>
      </c>
    </row>
    <row r="5216" spans="32:34">
      <c r="AF5216" s="367">
        <f t="shared" si="81"/>
        <v>45017</v>
      </c>
      <c r="AG5216" s="372">
        <v>45026</v>
      </c>
      <c r="AH5216">
        <v>4570.91</v>
      </c>
    </row>
    <row r="5217" spans="32:34">
      <c r="AF5217" s="367">
        <f t="shared" si="81"/>
        <v>45017</v>
      </c>
      <c r="AG5217" s="372">
        <v>45027</v>
      </c>
      <c r="AH5217">
        <v>4564.24</v>
      </c>
    </row>
    <row r="5218" spans="32:34">
      <c r="AF5218" s="367">
        <f t="shared" si="81"/>
        <v>45017</v>
      </c>
      <c r="AG5218" s="372">
        <v>45028</v>
      </c>
      <c r="AH5218">
        <v>4516.76</v>
      </c>
    </row>
    <row r="5219" spans="32:34">
      <c r="AF5219" s="367">
        <f t="shared" si="81"/>
        <v>45017</v>
      </c>
      <c r="AG5219" s="372">
        <v>45029</v>
      </c>
      <c r="AH5219">
        <v>4458.87</v>
      </c>
    </row>
    <row r="5220" spans="32:34">
      <c r="AF5220" s="367">
        <f t="shared" si="81"/>
        <v>45017</v>
      </c>
      <c r="AG5220" s="372">
        <v>45030</v>
      </c>
      <c r="AH5220">
        <v>4424.0200000000004</v>
      </c>
    </row>
    <row r="5221" spans="32:34">
      <c r="AF5221" s="367">
        <f t="shared" si="81"/>
        <v>45017</v>
      </c>
      <c r="AG5221" s="372">
        <v>45031</v>
      </c>
      <c r="AH5221">
        <v>4425.2700000000004</v>
      </c>
    </row>
    <row r="5222" spans="32:34">
      <c r="AF5222" s="367">
        <f t="shared" si="81"/>
        <v>45017</v>
      </c>
      <c r="AG5222" s="372">
        <v>45032</v>
      </c>
      <c r="AH5222">
        <v>4425.2700000000004</v>
      </c>
    </row>
    <row r="5223" spans="32:34">
      <c r="AF5223" s="367">
        <f t="shared" si="81"/>
        <v>45017</v>
      </c>
      <c r="AG5223" s="372">
        <v>45033</v>
      </c>
      <c r="AH5223">
        <v>4425.2700000000004</v>
      </c>
    </row>
    <row r="5224" spans="32:34">
      <c r="AF5224" s="367">
        <f t="shared" si="81"/>
        <v>45017</v>
      </c>
      <c r="AG5224" s="372">
        <v>45034</v>
      </c>
      <c r="AH5224">
        <v>4431.45</v>
      </c>
    </row>
    <row r="5225" spans="32:34">
      <c r="AF5225" s="367">
        <f t="shared" si="81"/>
        <v>45017</v>
      </c>
      <c r="AG5225" s="372">
        <v>45035</v>
      </c>
      <c r="AH5225">
        <v>4473.07</v>
      </c>
    </row>
    <row r="5226" spans="32:34">
      <c r="AF5226" s="367">
        <f t="shared" si="81"/>
        <v>45017</v>
      </c>
      <c r="AG5226" s="372">
        <v>45036</v>
      </c>
      <c r="AH5226">
        <v>4532.43</v>
      </c>
    </row>
    <row r="5227" spans="32:34">
      <c r="AF5227" s="367">
        <f t="shared" si="81"/>
        <v>45017</v>
      </c>
      <c r="AG5227" s="372">
        <v>45037</v>
      </c>
      <c r="AH5227">
        <v>4535.78</v>
      </c>
    </row>
    <row r="5228" spans="32:34">
      <c r="AF5228" s="367">
        <f t="shared" si="81"/>
        <v>45017</v>
      </c>
      <c r="AG5228" s="372">
        <v>45038</v>
      </c>
      <c r="AH5228">
        <v>4523.6400000000003</v>
      </c>
    </row>
    <row r="5229" spans="32:34">
      <c r="AF5229" s="367">
        <f t="shared" si="81"/>
        <v>45017</v>
      </c>
      <c r="AG5229" s="372">
        <v>45039</v>
      </c>
      <c r="AH5229">
        <v>4523.6400000000003</v>
      </c>
    </row>
    <row r="5230" spans="32:34">
      <c r="AF5230" s="367">
        <f t="shared" si="81"/>
        <v>45017</v>
      </c>
      <c r="AG5230" s="372">
        <v>45040</v>
      </c>
      <c r="AH5230">
        <v>4523.6400000000003</v>
      </c>
    </row>
    <row r="5231" spans="32:34">
      <c r="AF5231" s="367">
        <f t="shared" si="81"/>
        <v>45017</v>
      </c>
      <c r="AG5231" s="372">
        <v>45041</v>
      </c>
      <c r="AH5231">
        <v>4482.45</v>
      </c>
    </row>
    <row r="5232" spans="32:34">
      <c r="AF5232" s="367">
        <f t="shared" si="81"/>
        <v>45017</v>
      </c>
      <c r="AG5232" s="372">
        <v>45042</v>
      </c>
      <c r="AH5232">
        <v>4486.6000000000004</v>
      </c>
    </row>
    <row r="5233" spans="32:34">
      <c r="AF5233" s="367">
        <f t="shared" si="81"/>
        <v>45017</v>
      </c>
      <c r="AG5233" s="372">
        <v>45043</v>
      </c>
      <c r="AH5233">
        <v>4552.59</v>
      </c>
    </row>
    <row r="5234" spans="32:34">
      <c r="AF5234" s="367">
        <f t="shared" si="81"/>
        <v>45017</v>
      </c>
      <c r="AG5234" s="372">
        <v>45044</v>
      </c>
      <c r="AH5234">
        <v>4654.1400000000003</v>
      </c>
    </row>
    <row r="5235" spans="32:34">
      <c r="AF5235" s="367">
        <f t="shared" si="81"/>
        <v>45017</v>
      </c>
      <c r="AG5235" s="372">
        <v>45045</v>
      </c>
      <c r="AH5235">
        <v>4669</v>
      </c>
    </row>
    <row r="5236" spans="32:34">
      <c r="AF5236" s="367">
        <f t="shared" si="81"/>
        <v>45017</v>
      </c>
      <c r="AG5236" s="372">
        <v>45046</v>
      </c>
      <c r="AH5236">
        <v>4669</v>
      </c>
    </row>
    <row r="5237" spans="32:34">
      <c r="AF5237" s="367">
        <f t="shared" si="81"/>
        <v>45047</v>
      </c>
      <c r="AG5237" s="372">
        <v>45047</v>
      </c>
      <c r="AH5237">
        <v>4669</v>
      </c>
    </row>
    <row r="5238" spans="32:34">
      <c r="AF5238" s="367">
        <f t="shared" si="81"/>
        <v>45047</v>
      </c>
      <c r="AG5238" s="372">
        <v>45048</v>
      </c>
      <c r="AH5238">
        <v>4669</v>
      </c>
    </row>
    <row r="5239" spans="32:34">
      <c r="AF5239" s="367">
        <f t="shared" si="81"/>
        <v>45047</v>
      </c>
      <c r="AG5239" s="372">
        <v>45049</v>
      </c>
      <c r="AH5239">
        <v>4713.08</v>
      </c>
    </row>
    <row r="5240" spans="32:34">
      <c r="AF5240" s="367">
        <f t="shared" si="81"/>
        <v>45047</v>
      </c>
      <c r="AG5240" s="372">
        <v>45050</v>
      </c>
      <c r="AH5240">
        <v>4667.09</v>
      </c>
    </row>
    <row r="5241" spans="32:34">
      <c r="AF5241" s="367">
        <f t="shared" si="81"/>
        <v>45047</v>
      </c>
      <c r="AG5241" s="372">
        <v>45051</v>
      </c>
      <c r="AH5241">
        <v>4616.58</v>
      </c>
    </row>
    <row r="5242" spans="32:34">
      <c r="AF5242" s="367">
        <f t="shared" si="81"/>
        <v>45047</v>
      </c>
      <c r="AG5242" s="372">
        <v>45052</v>
      </c>
      <c r="AH5242">
        <v>4552.5600000000004</v>
      </c>
    </row>
    <row r="5243" spans="32:34">
      <c r="AF5243" s="367">
        <f t="shared" si="81"/>
        <v>45047</v>
      </c>
      <c r="AG5243" s="372">
        <v>45053</v>
      </c>
      <c r="AH5243">
        <v>4552.5600000000004</v>
      </c>
    </row>
    <row r="5244" spans="32:34">
      <c r="AF5244" s="367">
        <f t="shared" si="81"/>
        <v>45047</v>
      </c>
      <c r="AG5244" s="372">
        <v>45054</v>
      </c>
      <c r="AH5244">
        <v>4552.5600000000004</v>
      </c>
    </row>
    <row r="5245" spans="32:34">
      <c r="AF5245" s="367">
        <f t="shared" si="81"/>
        <v>45047</v>
      </c>
      <c r="AG5245" s="372">
        <v>45055</v>
      </c>
      <c r="AH5245">
        <v>4490.58</v>
      </c>
    </row>
    <row r="5246" spans="32:34">
      <c r="AF5246" s="367">
        <f t="shared" si="81"/>
        <v>45047</v>
      </c>
      <c r="AG5246" s="372">
        <v>45056</v>
      </c>
      <c r="AH5246">
        <v>4540.34</v>
      </c>
    </row>
    <row r="5247" spans="32:34">
      <c r="AF5247" s="367">
        <f t="shared" si="81"/>
        <v>45047</v>
      </c>
      <c r="AG5247" s="372">
        <v>45057</v>
      </c>
      <c r="AH5247">
        <v>4545.3900000000003</v>
      </c>
    </row>
    <row r="5248" spans="32:34">
      <c r="AF5248" s="367">
        <f t="shared" si="81"/>
        <v>45047</v>
      </c>
      <c r="AG5248" s="372">
        <v>45058</v>
      </c>
      <c r="AH5248">
        <v>4601.1499999999996</v>
      </c>
    </row>
    <row r="5249" spans="32:34">
      <c r="AF5249" s="367">
        <f t="shared" si="81"/>
        <v>45047</v>
      </c>
      <c r="AG5249" s="372">
        <v>45059</v>
      </c>
      <c r="AH5249">
        <v>4564.4399999999996</v>
      </c>
    </row>
    <row r="5250" spans="32:34">
      <c r="AF5250" s="367">
        <f t="shared" si="81"/>
        <v>45047</v>
      </c>
      <c r="AG5250" s="372">
        <v>45060</v>
      </c>
      <c r="AH5250">
        <v>4564.4399999999996</v>
      </c>
    </row>
    <row r="5251" spans="32:34">
      <c r="AF5251" s="367">
        <f t="shared" si="81"/>
        <v>45047</v>
      </c>
      <c r="AG5251" s="372">
        <v>45061</v>
      </c>
      <c r="AH5251">
        <v>4564.4399999999996</v>
      </c>
    </row>
    <row r="5252" spans="32:34">
      <c r="AF5252" s="367">
        <f t="shared" ref="AF5252:AF5314" si="82">+DATE(YEAR(AG5252),MONTH(AG5252),1)</f>
        <v>45047</v>
      </c>
      <c r="AG5252" s="372">
        <v>45062</v>
      </c>
      <c r="AH5252">
        <v>4506.49</v>
      </c>
    </row>
    <row r="5253" spans="32:34">
      <c r="AF5253" s="367">
        <f t="shared" si="82"/>
        <v>45047</v>
      </c>
      <c r="AG5253" s="372">
        <v>45063</v>
      </c>
      <c r="AH5253">
        <v>4531.58</v>
      </c>
    </row>
    <row r="5254" spans="32:34">
      <c r="AF5254" s="367">
        <f t="shared" si="82"/>
        <v>45047</v>
      </c>
      <c r="AG5254" s="372">
        <v>45064</v>
      </c>
      <c r="AH5254">
        <v>4528.3</v>
      </c>
    </row>
    <row r="5255" spans="32:34">
      <c r="AF5255" s="367">
        <f t="shared" si="82"/>
        <v>45047</v>
      </c>
      <c r="AG5255" s="372">
        <v>45065</v>
      </c>
      <c r="AH5255">
        <v>4521.6400000000003</v>
      </c>
    </row>
    <row r="5256" spans="32:34">
      <c r="AF5256" s="367">
        <f t="shared" si="82"/>
        <v>45047</v>
      </c>
      <c r="AG5256" s="372">
        <v>45066</v>
      </c>
      <c r="AH5256">
        <v>4528.67</v>
      </c>
    </row>
    <row r="5257" spans="32:34">
      <c r="AF5257" s="367">
        <f t="shared" si="82"/>
        <v>45047</v>
      </c>
      <c r="AG5257" s="372">
        <v>45067</v>
      </c>
      <c r="AH5257">
        <v>4528.67</v>
      </c>
    </row>
    <row r="5258" spans="32:34">
      <c r="AF5258" s="367">
        <f t="shared" si="82"/>
        <v>45047</v>
      </c>
      <c r="AG5258" s="372">
        <v>45068</v>
      </c>
      <c r="AH5258">
        <v>4528.67</v>
      </c>
    </row>
    <row r="5259" spans="32:34">
      <c r="AF5259" s="367">
        <f t="shared" si="82"/>
        <v>45047</v>
      </c>
      <c r="AG5259" s="372">
        <v>45069</v>
      </c>
      <c r="AH5259">
        <v>4528.67</v>
      </c>
    </row>
    <row r="5260" spans="32:34">
      <c r="AF5260" s="367">
        <f t="shared" si="82"/>
        <v>45047</v>
      </c>
      <c r="AG5260" s="372">
        <v>45070</v>
      </c>
      <c r="AH5260">
        <v>4501.8100000000004</v>
      </c>
    </row>
    <row r="5261" spans="32:34">
      <c r="AF5261" s="367">
        <f t="shared" si="82"/>
        <v>45047</v>
      </c>
      <c r="AG5261" s="372">
        <v>45071</v>
      </c>
      <c r="AH5261">
        <v>4448.93</v>
      </c>
    </row>
    <row r="5262" spans="32:34">
      <c r="AF5262" s="367">
        <f t="shared" si="82"/>
        <v>45047</v>
      </c>
      <c r="AG5262" s="372">
        <v>45072</v>
      </c>
      <c r="AH5262">
        <v>4470.83</v>
      </c>
    </row>
    <row r="5263" spans="32:34">
      <c r="AF5263" s="367">
        <f t="shared" si="82"/>
        <v>45047</v>
      </c>
      <c r="AG5263" s="372">
        <v>45073</v>
      </c>
      <c r="AH5263">
        <v>4461.66</v>
      </c>
    </row>
    <row r="5264" spans="32:34">
      <c r="AF5264" s="367">
        <f t="shared" si="82"/>
        <v>45047</v>
      </c>
      <c r="AG5264" s="372">
        <v>45074</v>
      </c>
      <c r="AH5264">
        <v>4461.66</v>
      </c>
    </row>
    <row r="5265" spans="32:34">
      <c r="AF5265" s="367">
        <f t="shared" si="82"/>
        <v>45047</v>
      </c>
      <c r="AG5265" s="372">
        <v>45075</v>
      </c>
      <c r="AH5265">
        <v>4461.66</v>
      </c>
    </row>
    <row r="5266" spans="32:34">
      <c r="AF5266" s="367">
        <f t="shared" si="82"/>
        <v>45047</v>
      </c>
      <c r="AG5266" s="372">
        <v>45076</v>
      </c>
      <c r="AH5266">
        <v>4461.66</v>
      </c>
    </row>
    <row r="5267" spans="32:34">
      <c r="AF5267" s="367">
        <f t="shared" si="82"/>
        <v>45047</v>
      </c>
      <c r="AG5267" s="372">
        <v>45077</v>
      </c>
      <c r="AH5267">
        <v>4408.6499999999996</v>
      </c>
    </row>
    <row r="5268" spans="32:34">
      <c r="AF5268" s="367">
        <f t="shared" si="82"/>
        <v>45078</v>
      </c>
      <c r="AG5268" s="372">
        <v>45078</v>
      </c>
      <c r="AH5268">
        <v>4434.09</v>
      </c>
    </row>
    <row r="5269" spans="32:34">
      <c r="AF5269" s="367">
        <f t="shared" si="82"/>
        <v>45078</v>
      </c>
      <c r="AG5269" s="372">
        <v>45079</v>
      </c>
      <c r="AH5269">
        <v>4410.49</v>
      </c>
    </row>
    <row r="5270" spans="32:34">
      <c r="AF5270" s="367">
        <f t="shared" si="82"/>
        <v>45078</v>
      </c>
      <c r="AG5270" s="372">
        <v>45080</v>
      </c>
      <c r="AH5270">
        <v>4355.8</v>
      </c>
    </row>
    <row r="5271" spans="32:34">
      <c r="AF5271" s="367">
        <f t="shared" si="82"/>
        <v>45078</v>
      </c>
      <c r="AG5271" s="372">
        <v>45081</v>
      </c>
      <c r="AH5271">
        <v>4355.8</v>
      </c>
    </row>
    <row r="5272" spans="32:34">
      <c r="AF5272" s="367">
        <f t="shared" si="82"/>
        <v>45078</v>
      </c>
      <c r="AG5272" s="372">
        <v>45082</v>
      </c>
      <c r="AH5272">
        <v>4355.8</v>
      </c>
    </row>
    <row r="5273" spans="32:34">
      <c r="AF5273" s="367">
        <f t="shared" si="82"/>
        <v>45078</v>
      </c>
      <c r="AG5273" s="372">
        <v>45083</v>
      </c>
      <c r="AH5273">
        <v>4307.0200000000004</v>
      </c>
    </row>
    <row r="5274" spans="32:34">
      <c r="AF5274" s="367">
        <f t="shared" si="82"/>
        <v>45078</v>
      </c>
      <c r="AG5274" s="372">
        <v>45084</v>
      </c>
      <c r="AH5274">
        <v>4245</v>
      </c>
    </row>
    <row r="5275" spans="32:34">
      <c r="AF5275" s="367">
        <f t="shared" si="82"/>
        <v>45078</v>
      </c>
      <c r="AG5275" s="372">
        <v>45085</v>
      </c>
      <c r="AH5275">
        <v>4209.1400000000003</v>
      </c>
    </row>
    <row r="5276" spans="32:34">
      <c r="AF5276" s="367">
        <f t="shared" si="82"/>
        <v>45078</v>
      </c>
      <c r="AG5276" s="372">
        <v>45086</v>
      </c>
      <c r="AH5276">
        <v>4179.9799999999996</v>
      </c>
    </row>
    <row r="5277" spans="32:34">
      <c r="AF5277" s="367">
        <f t="shared" si="82"/>
        <v>45078</v>
      </c>
      <c r="AG5277" s="372">
        <v>45087</v>
      </c>
      <c r="AH5277">
        <v>4173.66</v>
      </c>
    </row>
    <row r="5278" spans="32:34">
      <c r="AF5278" s="367">
        <f t="shared" si="82"/>
        <v>45078</v>
      </c>
      <c r="AG5278" s="372">
        <v>45088</v>
      </c>
      <c r="AH5278">
        <v>4173.66</v>
      </c>
    </row>
    <row r="5279" spans="32:34">
      <c r="AF5279" s="367">
        <f t="shared" si="82"/>
        <v>45078</v>
      </c>
      <c r="AG5279" s="372">
        <v>45089</v>
      </c>
      <c r="AH5279">
        <v>4173.66</v>
      </c>
    </row>
    <row r="5280" spans="32:34">
      <c r="AF5280" s="367">
        <f t="shared" si="82"/>
        <v>45078</v>
      </c>
      <c r="AG5280" s="372">
        <v>45090</v>
      </c>
      <c r="AH5280">
        <v>4173.66</v>
      </c>
    </row>
    <row r="5281" spans="32:34">
      <c r="AF5281" s="367">
        <f t="shared" si="82"/>
        <v>45078</v>
      </c>
      <c r="AG5281" s="372">
        <v>45091</v>
      </c>
      <c r="AH5281">
        <v>4186.3</v>
      </c>
    </row>
    <row r="5282" spans="32:34">
      <c r="AF5282" s="367">
        <f t="shared" si="82"/>
        <v>45078</v>
      </c>
      <c r="AG5282" s="372">
        <v>45092</v>
      </c>
      <c r="AH5282">
        <v>4182.33</v>
      </c>
    </row>
    <row r="5283" spans="32:34">
      <c r="AF5283" s="367">
        <f t="shared" si="82"/>
        <v>45078</v>
      </c>
      <c r="AG5283" s="372">
        <v>45093</v>
      </c>
      <c r="AH5283">
        <v>4164.66</v>
      </c>
    </row>
    <row r="5284" spans="32:34">
      <c r="AF5284" s="367">
        <f t="shared" si="82"/>
        <v>45078</v>
      </c>
      <c r="AG5284" s="372">
        <v>45094</v>
      </c>
      <c r="AH5284">
        <v>4145.72</v>
      </c>
    </row>
    <row r="5285" spans="32:34">
      <c r="AF5285" s="367">
        <f t="shared" si="82"/>
        <v>45078</v>
      </c>
      <c r="AG5285" s="372">
        <v>45095</v>
      </c>
      <c r="AH5285">
        <v>4145.72</v>
      </c>
    </row>
    <row r="5286" spans="32:34">
      <c r="AF5286" s="367">
        <f t="shared" si="82"/>
        <v>45078</v>
      </c>
      <c r="AG5286" s="372">
        <v>45096</v>
      </c>
      <c r="AH5286">
        <v>4145.72</v>
      </c>
    </row>
    <row r="5287" spans="32:34">
      <c r="AF5287" s="367">
        <f t="shared" si="82"/>
        <v>45078</v>
      </c>
      <c r="AG5287" s="372">
        <v>45097</v>
      </c>
      <c r="AH5287">
        <v>4145.72</v>
      </c>
    </row>
    <row r="5288" spans="32:34">
      <c r="AF5288" s="367">
        <f t="shared" si="82"/>
        <v>45078</v>
      </c>
      <c r="AG5288" s="372">
        <v>45098</v>
      </c>
      <c r="AH5288">
        <v>4149.18</v>
      </c>
    </row>
    <row r="5289" spans="32:34">
      <c r="AF5289" s="367">
        <f t="shared" si="82"/>
        <v>45078</v>
      </c>
      <c r="AG5289" s="372">
        <v>45099</v>
      </c>
      <c r="AH5289">
        <v>4158.21</v>
      </c>
    </row>
    <row r="5290" spans="32:34">
      <c r="AF5290" s="367">
        <f t="shared" si="82"/>
        <v>45078</v>
      </c>
      <c r="AG5290" s="372">
        <v>45100</v>
      </c>
      <c r="AH5290">
        <v>4114.3900000000003</v>
      </c>
    </row>
    <row r="5291" spans="32:34">
      <c r="AF5291" s="367">
        <f t="shared" si="82"/>
        <v>45078</v>
      </c>
      <c r="AG5291" s="372">
        <v>45101</v>
      </c>
      <c r="AH5291">
        <v>4168.88</v>
      </c>
    </row>
    <row r="5292" spans="32:34">
      <c r="AF5292" s="367">
        <f t="shared" si="82"/>
        <v>45078</v>
      </c>
      <c r="AG5292" s="372">
        <v>45102</v>
      </c>
      <c r="AH5292">
        <v>4168.88</v>
      </c>
    </row>
    <row r="5293" spans="32:34">
      <c r="AF5293" s="367">
        <f t="shared" si="82"/>
        <v>45078</v>
      </c>
      <c r="AG5293" s="372">
        <v>45103</v>
      </c>
      <c r="AH5293">
        <v>4168.88</v>
      </c>
    </row>
    <row r="5294" spans="32:34">
      <c r="AF5294" s="367">
        <f t="shared" si="82"/>
        <v>45078</v>
      </c>
      <c r="AG5294" s="372">
        <v>45104</v>
      </c>
      <c r="AH5294">
        <v>4172.33</v>
      </c>
    </row>
    <row r="5295" spans="32:34">
      <c r="AF5295" s="367">
        <f t="shared" si="82"/>
        <v>45078</v>
      </c>
      <c r="AG5295" s="372">
        <v>45105</v>
      </c>
      <c r="AH5295">
        <v>4152.4799999999996</v>
      </c>
    </row>
    <row r="5296" spans="32:34">
      <c r="AF5296" s="367">
        <f t="shared" si="82"/>
        <v>45078</v>
      </c>
      <c r="AG5296" s="372">
        <v>45106</v>
      </c>
      <c r="AH5296">
        <v>4169.6000000000004</v>
      </c>
    </row>
    <row r="5297" spans="32:34">
      <c r="AF5297" s="367">
        <f t="shared" si="82"/>
        <v>45078</v>
      </c>
      <c r="AG5297" s="372">
        <v>45107</v>
      </c>
      <c r="AH5297">
        <v>4191.28</v>
      </c>
    </row>
    <row r="5298" spans="32:34">
      <c r="AF5298" s="367">
        <f t="shared" si="82"/>
        <v>45108</v>
      </c>
      <c r="AG5298" s="372">
        <v>45108</v>
      </c>
      <c r="AH5298">
        <v>4177.58</v>
      </c>
    </row>
    <row r="5299" spans="32:34">
      <c r="AF5299" s="367">
        <f t="shared" si="82"/>
        <v>45108</v>
      </c>
      <c r="AG5299" s="372">
        <v>45109</v>
      </c>
      <c r="AH5299">
        <v>4177.58</v>
      </c>
    </row>
    <row r="5300" spans="32:34">
      <c r="AF5300" s="367">
        <f t="shared" si="82"/>
        <v>45108</v>
      </c>
      <c r="AG5300" s="372">
        <v>45110</v>
      </c>
      <c r="AH5300">
        <v>4177.58</v>
      </c>
    </row>
    <row r="5301" spans="32:34">
      <c r="AF5301" s="367">
        <f t="shared" si="82"/>
        <v>45108</v>
      </c>
      <c r="AG5301" s="372">
        <v>45111</v>
      </c>
      <c r="AH5301">
        <v>4177.58</v>
      </c>
    </row>
    <row r="5302" spans="32:34">
      <c r="AF5302" s="367">
        <f t="shared" si="82"/>
        <v>45108</v>
      </c>
      <c r="AG5302" s="372">
        <v>45112</v>
      </c>
      <c r="AH5302">
        <v>4177.58</v>
      </c>
    </row>
    <row r="5303" spans="32:34">
      <c r="AF5303" s="367">
        <f t="shared" si="82"/>
        <v>45108</v>
      </c>
      <c r="AG5303" s="372">
        <v>45113</v>
      </c>
      <c r="AH5303">
        <v>4128.08</v>
      </c>
    </row>
    <row r="5304" spans="32:34">
      <c r="AF5304" s="367">
        <f t="shared" si="82"/>
        <v>45108</v>
      </c>
      <c r="AG5304" s="372">
        <v>45114</v>
      </c>
      <c r="AH5304">
        <v>4195.93</v>
      </c>
    </row>
    <row r="5305" spans="32:34">
      <c r="AF5305" s="367">
        <f t="shared" si="82"/>
        <v>45108</v>
      </c>
      <c r="AG5305" s="372">
        <v>45115</v>
      </c>
      <c r="AH5305">
        <v>4189.96</v>
      </c>
    </row>
    <row r="5306" spans="32:34">
      <c r="AF5306" s="367">
        <f t="shared" si="82"/>
        <v>45108</v>
      </c>
      <c r="AG5306" s="372">
        <v>45116</v>
      </c>
      <c r="AH5306">
        <v>4189.96</v>
      </c>
    </row>
    <row r="5307" spans="32:34">
      <c r="AF5307" s="367">
        <f t="shared" si="82"/>
        <v>45108</v>
      </c>
      <c r="AG5307" s="372">
        <v>45117</v>
      </c>
      <c r="AH5307">
        <v>4189.96</v>
      </c>
    </row>
    <row r="5308" spans="32:34">
      <c r="AF5308" s="367">
        <f t="shared" si="82"/>
        <v>45108</v>
      </c>
      <c r="AG5308" s="372">
        <v>45118</v>
      </c>
      <c r="AH5308">
        <v>4154.0600000000004</v>
      </c>
    </row>
    <row r="5309" spans="32:34">
      <c r="AF5309" s="367">
        <f t="shared" si="82"/>
        <v>45108</v>
      </c>
      <c r="AG5309" s="372">
        <v>45119</v>
      </c>
      <c r="AH5309">
        <v>4193.59</v>
      </c>
    </row>
    <row r="5310" spans="32:34">
      <c r="AF5310" s="367">
        <f t="shared" si="82"/>
        <v>45108</v>
      </c>
      <c r="AG5310" s="372">
        <v>45120</v>
      </c>
      <c r="AH5310">
        <v>4128.67</v>
      </c>
    </row>
    <row r="5311" spans="32:34">
      <c r="AF5311" s="367">
        <f t="shared" si="82"/>
        <v>45108</v>
      </c>
      <c r="AG5311" s="372">
        <v>45121</v>
      </c>
      <c r="AH5311">
        <v>4102.13</v>
      </c>
    </row>
    <row r="5312" spans="32:34">
      <c r="AF5312" s="367">
        <f t="shared" si="82"/>
        <v>45108</v>
      </c>
      <c r="AG5312" s="372">
        <v>45122</v>
      </c>
      <c r="AH5312">
        <v>4089.3</v>
      </c>
    </row>
    <row r="5313" spans="32:34">
      <c r="AF5313" s="367">
        <f t="shared" si="82"/>
        <v>45108</v>
      </c>
      <c r="AG5313" s="372">
        <v>45123</v>
      </c>
      <c r="AH5313">
        <v>4089.3</v>
      </c>
    </row>
    <row r="5314" spans="32:34">
      <c r="AF5314" s="367">
        <f t="shared" si="82"/>
        <v>45108</v>
      </c>
      <c r="AG5314" s="372">
        <v>45124</v>
      </c>
      <c r="AH5314">
        <v>4089.3</v>
      </c>
    </row>
    <row r="5315" spans="32:34">
      <c r="AF5315" s="367">
        <f t="shared" ref="AF5315:AF5378" si="83">+DATE(YEAR(AG5315),MONTH(AG5315),1)</f>
        <v>45108</v>
      </c>
      <c r="AG5315" s="372">
        <v>45125</v>
      </c>
      <c r="AH5315">
        <v>4069.39</v>
      </c>
    </row>
    <row r="5316" spans="32:34">
      <c r="AF5316" s="367">
        <f t="shared" si="83"/>
        <v>45108</v>
      </c>
      <c r="AG5316" s="372">
        <v>45126</v>
      </c>
      <c r="AH5316">
        <v>3991.15</v>
      </c>
    </row>
    <row r="5317" spans="32:34">
      <c r="AF5317" s="367">
        <f t="shared" si="83"/>
        <v>45108</v>
      </c>
      <c r="AG5317" s="372">
        <v>45127</v>
      </c>
      <c r="AH5317">
        <v>3980.2</v>
      </c>
    </row>
    <row r="5318" spans="32:34">
      <c r="AF5318" s="367">
        <f t="shared" si="83"/>
        <v>45108</v>
      </c>
      <c r="AG5318" s="372">
        <v>45128</v>
      </c>
      <c r="AH5318">
        <v>3980.2</v>
      </c>
    </row>
    <row r="5319" spans="32:34">
      <c r="AF5319" s="367">
        <f t="shared" si="83"/>
        <v>45108</v>
      </c>
      <c r="AG5319" s="372">
        <v>45129</v>
      </c>
      <c r="AH5319">
        <v>3971.38</v>
      </c>
    </row>
    <row r="5320" spans="32:34">
      <c r="AF5320" s="367">
        <f t="shared" si="83"/>
        <v>45108</v>
      </c>
      <c r="AG5320" s="372">
        <v>45130</v>
      </c>
      <c r="AH5320">
        <v>3971.38</v>
      </c>
    </row>
    <row r="5321" spans="32:34">
      <c r="AF5321" s="367">
        <f t="shared" si="83"/>
        <v>45108</v>
      </c>
      <c r="AG5321" s="372">
        <v>45131</v>
      </c>
      <c r="AH5321">
        <v>3971.38</v>
      </c>
    </row>
    <row r="5322" spans="32:34">
      <c r="AF5322" s="367">
        <f t="shared" si="83"/>
        <v>45108</v>
      </c>
      <c r="AG5322" s="372">
        <v>45132</v>
      </c>
      <c r="AH5322">
        <v>3950.58</v>
      </c>
    </row>
    <row r="5323" spans="32:34">
      <c r="AF5323" s="367">
        <f t="shared" si="83"/>
        <v>45108</v>
      </c>
      <c r="AG5323" s="372">
        <v>45133</v>
      </c>
      <c r="AH5323">
        <v>3978.83</v>
      </c>
    </row>
    <row r="5324" spans="32:34">
      <c r="AF5324" s="367">
        <f t="shared" si="83"/>
        <v>45108</v>
      </c>
      <c r="AG5324" s="372">
        <v>45134</v>
      </c>
      <c r="AH5324">
        <v>3951.1</v>
      </c>
    </row>
    <row r="5325" spans="32:34">
      <c r="AF5325" s="367">
        <f t="shared" si="83"/>
        <v>45108</v>
      </c>
      <c r="AG5325" s="372">
        <v>45135</v>
      </c>
      <c r="AH5325">
        <v>3932.04</v>
      </c>
    </row>
    <row r="5326" spans="32:34">
      <c r="AF5326" s="367">
        <f t="shared" si="83"/>
        <v>45108</v>
      </c>
      <c r="AG5326" s="372">
        <v>45136</v>
      </c>
      <c r="AH5326">
        <v>3923.49</v>
      </c>
    </row>
    <row r="5327" spans="32:34">
      <c r="AF5327" s="367">
        <f t="shared" si="83"/>
        <v>45108</v>
      </c>
      <c r="AG5327" s="372">
        <v>45137</v>
      </c>
      <c r="AH5327">
        <v>3923.49</v>
      </c>
    </row>
    <row r="5328" spans="32:34">
      <c r="AF5328" s="367">
        <f t="shared" si="83"/>
        <v>45108</v>
      </c>
      <c r="AG5328" s="372">
        <v>45138</v>
      </c>
      <c r="AH5328">
        <v>3923.49</v>
      </c>
    </row>
    <row r="5329" spans="32:34">
      <c r="AF5329" s="367">
        <f t="shared" si="83"/>
        <v>45139</v>
      </c>
      <c r="AG5329" s="372">
        <v>45139</v>
      </c>
      <c r="AH5329">
        <v>3898.48</v>
      </c>
    </row>
    <row r="5330" spans="32:34">
      <c r="AF5330" s="367">
        <f t="shared" si="83"/>
        <v>45139</v>
      </c>
      <c r="AG5330" s="372">
        <v>45140</v>
      </c>
      <c r="AH5330">
        <v>4007.44</v>
      </c>
    </row>
    <row r="5331" spans="32:34">
      <c r="AF5331" s="367">
        <f t="shared" si="83"/>
        <v>45139</v>
      </c>
      <c r="AG5331" s="372">
        <v>45141</v>
      </c>
      <c r="AH5331">
        <v>4056.99</v>
      </c>
    </row>
    <row r="5332" spans="32:34">
      <c r="AF5332" s="367">
        <f t="shared" si="83"/>
        <v>45139</v>
      </c>
      <c r="AG5332" s="372">
        <v>45142</v>
      </c>
      <c r="AH5332">
        <v>4144.79</v>
      </c>
    </row>
    <row r="5333" spans="32:34">
      <c r="AF5333" s="367">
        <f t="shared" si="83"/>
        <v>45139</v>
      </c>
      <c r="AG5333" s="372">
        <v>45143</v>
      </c>
      <c r="AH5333">
        <v>4077.9</v>
      </c>
    </row>
    <row r="5334" spans="32:34">
      <c r="AF5334" s="367">
        <f t="shared" si="83"/>
        <v>45139</v>
      </c>
      <c r="AG5334" s="372">
        <v>45144</v>
      </c>
      <c r="AH5334">
        <v>4077.9</v>
      </c>
    </row>
    <row r="5335" spans="32:34">
      <c r="AF5335" s="367">
        <f t="shared" si="83"/>
        <v>45139</v>
      </c>
      <c r="AG5335" s="372">
        <v>45145</v>
      </c>
      <c r="AH5335">
        <v>4077.9</v>
      </c>
    </row>
    <row r="5336" spans="32:34">
      <c r="AF5336" s="367">
        <f t="shared" si="83"/>
        <v>45139</v>
      </c>
      <c r="AG5336" s="372">
        <v>45146</v>
      </c>
      <c r="AH5336">
        <v>4077.9</v>
      </c>
    </row>
    <row r="5337" spans="32:34">
      <c r="AF5337" s="367">
        <f t="shared" si="83"/>
        <v>45139</v>
      </c>
      <c r="AG5337" s="372">
        <v>45147</v>
      </c>
      <c r="AH5337">
        <v>4076.46</v>
      </c>
    </row>
    <row r="5338" spans="32:34">
      <c r="AF5338" s="367">
        <f t="shared" si="83"/>
        <v>45139</v>
      </c>
      <c r="AG5338" s="372">
        <v>45148</v>
      </c>
      <c r="AH5338">
        <v>4031.65</v>
      </c>
    </row>
    <row r="5339" spans="32:34">
      <c r="AF5339" s="367">
        <f t="shared" si="83"/>
        <v>45139</v>
      </c>
      <c r="AG5339" s="372">
        <v>45149</v>
      </c>
      <c r="AH5339">
        <v>3955.23</v>
      </c>
    </row>
    <row r="5340" spans="32:34">
      <c r="AF5340" s="367">
        <f t="shared" si="83"/>
        <v>45139</v>
      </c>
      <c r="AG5340" s="372">
        <v>45150</v>
      </c>
      <c r="AH5340">
        <v>3973.41</v>
      </c>
    </row>
    <row r="5341" spans="32:34">
      <c r="AF5341" s="367">
        <f t="shared" si="83"/>
        <v>45139</v>
      </c>
      <c r="AG5341" s="372">
        <v>45151</v>
      </c>
      <c r="AH5341">
        <v>3973.41</v>
      </c>
    </row>
    <row r="5342" spans="32:34">
      <c r="AF5342" s="367">
        <f t="shared" si="83"/>
        <v>45139</v>
      </c>
      <c r="AG5342" s="372">
        <v>45152</v>
      </c>
      <c r="AH5342">
        <v>3973.41</v>
      </c>
    </row>
    <row r="5343" spans="32:34">
      <c r="AF5343" s="367">
        <f t="shared" si="83"/>
        <v>45139</v>
      </c>
      <c r="AG5343" s="372">
        <v>45153</v>
      </c>
      <c r="AH5343">
        <v>4029.95</v>
      </c>
    </row>
    <row r="5344" spans="32:34">
      <c r="AF5344" s="367">
        <f t="shared" si="83"/>
        <v>45139</v>
      </c>
      <c r="AG5344" s="372">
        <v>45154</v>
      </c>
      <c r="AH5344">
        <v>4096.08</v>
      </c>
    </row>
    <row r="5345" spans="32:34">
      <c r="AF5345" s="367">
        <f t="shared" si="83"/>
        <v>45139</v>
      </c>
      <c r="AG5345" s="372">
        <v>45155</v>
      </c>
      <c r="AH5345">
        <v>4130.33</v>
      </c>
    </row>
    <row r="5346" spans="32:34">
      <c r="AF5346" s="367">
        <f t="shared" si="83"/>
        <v>45139</v>
      </c>
      <c r="AG5346" s="372">
        <v>45156</v>
      </c>
      <c r="AH5346">
        <v>4093.96</v>
      </c>
    </row>
    <row r="5347" spans="32:34">
      <c r="AF5347" s="367">
        <f t="shared" si="83"/>
        <v>45139</v>
      </c>
      <c r="AG5347" s="372">
        <v>45157</v>
      </c>
      <c r="AH5347">
        <v>4124.04</v>
      </c>
    </row>
    <row r="5348" spans="32:34">
      <c r="AF5348" s="367">
        <f t="shared" si="83"/>
        <v>45139</v>
      </c>
      <c r="AG5348" s="372">
        <v>45158</v>
      </c>
      <c r="AH5348">
        <v>4124.04</v>
      </c>
    </row>
    <row r="5349" spans="32:34">
      <c r="AF5349" s="367">
        <f t="shared" si="83"/>
        <v>45139</v>
      </c>
      <c r="AG5349" s="372">
        <v>45159</v>
      </c>
      <c r="AH5349">
        <v>4124.04</v>
      </c>
    </row>
    <row r="5350" spans="32:34">
      <c r="AF5350" s="367">
        <f t="shared" si="83"/>
        <v>45139</v>
      </c>
      <c r="AG5350" s="372">
        <v>45160</v>
      </c>
      <c r="AH5350">
        <v>4124.04</v>
      </c>
    </row>
    <row r="5351" spans="32:34">
      <c r="AF5351" s="367">
        <f t="shared" si="83"/>
        <v>45139</v>
      </c>
      <c r="AG5351" s="372">
        <v>45161</v>
      </c>
      <c r="AH5351">
        <v>4120.07</v>
      </c>
    </row>
    <row r="5352" spans="32:34">
      <c r="AF5352" s="367">
        <f t="shared" si="83"/>
        <v>45139</v>
      </c>
      <c r="AG5352" s="372">
        <v>45162</v>
      </c>
      <c r="AH5352">
        <v>4085.89</v>
      </c>
    </row>
    <row r="5353" spans="32:34">
      <c r="AF5353" s="367">
        <f t="shared" si="83"/>
        <v>45139</v>
      </c>
      <c r="AG5353" s="372">
        <v>45163</v>
      </c>
      <c r="AH5353">
        <v>4076.9</v>
      </c>
    </row>
    <row r="5354" spans="32:34">
      <c r="AF5354" s="367">
        <f t="shared" si="83"/>
        <v>45139</v>
      </c>
      <c r="AG5354" s="372">
        <v>45164</v>
      </c>
      <c r="AH5354">
        <v>4117.78</v>
      </c>
    </row>
    <row r="5355" spans="32:34">
      <c r="AF5355" s="367">
        <f t="shared" si="83"/>
        <v>45139</v>
      </c>
      <c r="AG5355" s="372">
        <v>45165</v>
      </c>
      <c r="AH5355">
        <v>4117.78</v>
      </c>
    </row>
    <row r="5356" spans="32:34">
      <c r="AF5356" s="367">
        <f t="shared" si="83"/>
        <v>45139</v>
      </c>
      <c r="AG5356" s="372">
        <v>45166</v>
      </c>
      <c r="AH5356">
        <v>4117.78</v>
      </c>
    </row>
    <row r="5357" spans="32:34">
      <c r="AF5357" s="367">
        <f t="shared" si="83"/>
        <v>45139</v>
      </c>
      <c r="AG5357" s="372">
        <v>45167</v>
      </c>
      <c r="AH5357">
        <v>4111.5200000000004</v>
      </c>
    </row>
    <row r="5358" spans="32:34">
      <c r="AF5358" s="367">
        <f t="shared" si="83"/>
        <v>45139</v>
      </c>
      <c r="AG5358" s="372">
        <v>45168</v>
      </c>
      <c r="AH5358">
        <v>4110.08</v>
      </c>
    </row>
    <row r="5359" spans="32:34">
      <c r="AF5359" s="367">
        <f t="shared" si="83"/>
        <v>45139</v>
      </c>
      <c r="AG5359" s="372">
        <v>45169</v>
      </c>
      <c r="AH5359">
        <v>4085.33</v>
      </c>
    </row>
    <row r="5360" spans="32:34">
      <c r="AF5360" s="367">
        <f t="shared" si="83"/>
        <v>45170</v>
      </c>
      <c r="AG5360" s="372">
        <v>45170</v>
      </c>
      <c r="AH5360">
        <v>4099.2</v>
      </c>
    </row>
    <row r="5361" spans="32:34">
      <c r="AF5361" s="367">
        <f t="shared" si="83"/>
        <v>45170</v>
      </c>
      <c r="AG5361" s="372">
        <v>45171</v>
      </c>
      <c r="AH5361">
        <v>4063.36</v>
      </c>
    </row>
    <row r="5362" spans="32:34">
      <c r="AF5362" s="367">
        <f t="shared" si="83"/>
        <v>45170</v>
      </c>
      <c r="AG5362" s="372">
        <v>45172</v>
      </c>
      <c r="AH5362">
        <v>4063.36</v>
      </c>
    </row>
    <row r="5363" spans="32:34">
      <c r="AF5363" s="367">
        <f t="shared" si="83"/>
        <v>45170</v>
      </c>
      <c r="AG5363" s="372">
        <v>45173</v>
      </c>
      <c r="AH5363">
        <v>4063.36</v>
      </c>
    </row>
    <row r="5364" spans="32:34">
      <c r="AF5364" s="367">
        <f t="shared" si="83"/>
        <v>45170</v>
      </c>
      <c r="AG5364" s="372">
        <v>45174</v>
      </c>
      <c r="AH5364">
        <v>4063.36</v>
      </c>
    </row>
    <row r="5365" spans="32:34">
      <c r="AF5365" s="367">
        <f t="shared" si="83"/>
        <v>45170</v>
      </c>
      <c r="AG5365" s="372">
        <v>45175</v>
      </c>
      <c r="AH5365">
        <v>4089.46</v>
      </c>
    </row>
    <row r="5366" spans="32:34">
      <c r="AF5366" s="367">
        <f t="shared" si="83"/>
        <v>45170</v>
      </c>
      <c r="AG5366" s="372">
        <v>45176</v>
      </c>
      <c r="AH5366">
        <v>4093.04</v>
      </c>
    </row>
    <row r="5367" spans="32:34">
      <c r="AF5367" s="367">
        <f t="shared" si="83"/>
        <v>45170</v>
      </c>
      <c r="AG5367" s="372">
        <v>45177</v>
      </c>
      <c r="AH5367">
        <v>4045.83</v>
      </c>
    </row>
    <row r="5368" spans="32:34">
      <c r="AF5368" s="367">
        <f t="shared" si="83"/>
        <v>45170</v>
      </c>
      <c r="AG5368" s="372">
        <v>45178</v>
      </c>
      <c r="AH5368">
        <v>4012.26</v>
      </c>
    </row>
    <row r="5369" spans="32:34">
      <c r="AF5369" s="367">
        <f t="shared" si="83"/>
        <v>45170</v>
      </c>
      <c r="AG5369" s="372">
        <v>45179</v>
      </c>
      <c r="AH5369">
        <v>4012.26</v>
      </c>
    </row>
    <row r="5370" spans="32:34">
      <c r="AF5370" s="367">
        <f t="shared" si="83"/>
        <v>45170</v>
      </c>
      <c r="AG5370" s="372">
        <v>45180</v>
      </c>
      <c r="AH5370">
        <v>4012.26</v>
      </c>
    </row>
    <row r="5371" spans="32:34">
      <c r="AF5371" s="367">
        <f t="shared" si="83"/>
        <v>45170</v>
      </c>
      <c r="AG5371" s="372">
        <v>45181</v>
      </c>
      <c r="AH5371">
        <v>3997.74</v>
      </c>
    </row>
    <row r="5372" spans="32:34">
      <c r="AF5372" s="367">
        <f t="shared" si="83"/>
        <v>45170</v>
      </c>
      <c r="AG5372" s="372">
        <v>45182</v>
      </c>
      <c r="AH5372">
        <v>3993.53</v>
      </c>
    </row>
    <row r="5373" spans="32:34">
      <c r="AF5373" s="367">
        <f t="shared" si="83"/>
        <v>45170</v>
      </c>
      <c r="AG5373" s="372">
        <v>45183</v>
      </c>
      <c r="AH5373">
        <v>3950.92</v>
      </c>
    </row>
    <row r="5374" spans="32:34">
      <c r="AF5374" s="367">
        <f t="shared" si="83"/>
        <v>45170</v>
      </c>
      <c r="AG5374" s="372">
        <v>45184</v>
      </c>
      <c r="AH5374">
        <v>3926.59</v>
      </c>
    </row>
    <row r="5375" spans="32:34">
      <c r="AF5375" s="367">
        <f t="shared" si="83"/>
        <v>45170</v>
      </c>
      <c r="AG5375" s="372">
        <v>45185</v>
      </c>
      <c r="AH5375">
        <v>3928.28</v>
      </c>
    </row>
    <row r="5376" spans="32:34">
      <c r="AF5376" s="367">
        <f t="shared" si="83"/>
        <v>45170</v>
      </c>
      <c r="AG5376" s="372">
        <v>45186</v>
      </c>
      <c r="AH5376">
        <v>3928.28</v>
      </c>
    </row>
    <row r="5377" spans="32:34">
      <c r="AF5377" s="367">
        <f t="shared" si="83"/>
        <v>45170</v>
      </c>
      <c r="AG5377" s="372">
        <v>45187</v>
      </c>
      <c r="AH5377">
        <v>3928.28</v>
      </c>
    </row>
    <row r="5378" spans="32:34">
      <c r="AF5378" s="367">
        <f t="shared" si="83"/>
        <v>45170</v>
      </c>
      <c r="AG5378" s="372">
        <v>45188</v>
      </c>
      <c r="AH5378">
        <v>3905.95</v>
      </c>
    </row>
    <row r="5379" spans="32:34">
      <c r="AF5379" s="367">
        <f t="shared" ref="AF5379:AF5442" si="84">+DATE(YEAR(AG5379),MONTH(AG5379),1)</f>
        <v>45170</v>
      </c>
      <c r="AG5379" s="372">
        <v>45189</v>
      </c>
      <c r="AH5379">
        <v>3902.54</v>
      </c>
    </row>
    <row r="5380" spans="32:34">
      <c r="AF5380" s="367">
        <f t="shared" si="84"/>
        <v>45170</v>
      </c>
      <c r="AG5380" s="372">
        <v>45190</v>
      </c>
      <c r="AH5380">
        <v>3907.21</v>
      </c>
    </row>
    <row r="5381" spans="32:34">
      <c r="AF5381" s="367">
        <f t="shared" si="84"/>
        <v>45170</v>
      </c>
      <c r="AG5381" s="372">
        <v>45191</v>
      </c>
      <c r="AH5381">
        <v>3948.25</v>
      </c>
    </row>
    <row r="5382" spans="32:34">
      <c r="AF5382" s="367">
        <f t="shared" si="84"/>
        <v>45170</v>
      </c>
      <c r="AG5382" s="372">
        <v>45192</v>
      </c>
      <c r="AH5382">
        <v>3948.7</v>
      </c>
    </row>
    <row r="5383" spans="32:34">
      <c r="AF5383" s="367">
        <f t="shared" si="84"/>
        <v>45170</v>
      </c>
      <c r="AG5383" s="372">
        <v>45193</v>
      </c>
      <c r="AH5383">
        <v>3948.7</v>
      </c>
    </row>
    <row r="5384" spans="32:34">
      <c r="AF5384" s="367">
        <f t="shared" si="84"/>
        <v>45170</v>
      </c>
      <c r="AG5384" s="372">
        <v>45194</v>
      </c>
      <c r="AH5384">
        <v>3948.7</v>
      </c>
    </row>
    <row r="5385" spans="32:34">
      <c r="AF5385" s="367">
        <f t="shared" si="84"/>
        <v>45170</v>
      </c>
      <c r="AG5385" s="372">
        <v>45195</v>
      </c>
      <c r="AH5385">
        <v>4052.54</v>
      </c>
    </row>
    <row r="5386" spans="32:34">
      <c r="AF5386" s="367">
        <f t="shared" si="84"/>
        <v>45170</v>
      </c>
      <c r="AG5386" s="372">
        <v>45196</v>
      </c>
      <c r="AH5386">
        <v>4068.73</v>
      </c>
    </row>
    <row r="5387" spans="32:34">
      <c r="AF5387" s="367">
        <f t="shared" si="84"/>
        <v>45170</v>
      </c>
      <c r="AG5387" s="372">
        <v>45197</v>
      </c>
      <c r="AH5387">
        <v>4093.6</v>
      </c>
    </row>
    <row r="5388" spans="32:34">
      <c r="AF5388" s="367">
        <f t="shared" si="84"/>
        <v>45170</v>
      </c>
      <c r="AG5388" s="372">
        <v>45198</v>
      </c>
      <c r="AH5388">
        <v>4085.57</v>
      </c>
    </row>
    <row r="5389" spans="32:34">
      <c r="AF5389" s="367">
        <f t="shared" si="84"/>
        <v>45170</v>
      </c>
      <c r="AG5389" s="372">
        <v>45199</v>
      </c>
      <c r="AH5389">
        <v>4053.76</v>
      </c>
    </row>
    <row r="5390" spans="32:34">
      <c r="AF5390" s="367">
        <f t="shared" si="84"/>
        <v>45200</v>
      </c>
      <c r="AG5390" s="372">
        <v>45200</v>
      </c>
      <c r="AH5390">
        <v>4053.76</v>
      </c>
    </row>
    <row r="5391" spans="32:34">
      <c r="AF5391" s="367">
        <f t="shared" si="84"/>
        <v>45200</v>
      </c>
      <c r="AG5391" s="372">
        <v>45201</v>
      </c>
      <c r="AH5391">
        <v>4053.76</v>
      </c>
    </row>
    <row r="5392" spans="32:34">
      <c r="AF5392" s="367">
        <f t="shared" si="84"/>
        <v>45200</v>
      </c>
      <c r="AG5392" s="372">
        <v>45202</v>
      </c>
      <c r="AH5392">
        <v>4141.43</v>
      </c>
    </row>
    <row r="5393" spans="32:34">
      <c r="AF5393" s="367">
        <f t="shared" si="84"/>
        <v>45200</v>
      </c>
      <c r="AG5393" s="372">
        <v>45203</v>
      </c>
      <c r="AH5393">
        <v>4187.01</v>
      </c>
    </row>
    <row r="5394" spans="32:34">
      <c r="AF5394" s="367">
        <f t="shared" si="84"/>
        <v>45200</v>
      </c>
      <c r="AG5394" s="372">
        <v>45204</v>
      </c>
      <c r="AH5394">
        <v>4252.09</v>
      </c>
    </row>
    <row r="5395" spans="32:34">
      <c r="AF5395" s="367">
        <f t="shared" si="84"/>
        <v>45200</v>
      </c>
      <c r="AG5395" s="372">
        <v>45205</v>
      </c>
      <c r="AH5395">
        <v>4359.3999999999996</v>
      </c>
    </row>
    <row r="5396" spans="32:34">
      <c r="AF5396" s="367">
        <f t="shared" si="84"/>
        <v>45200</v>
      </c>
      <c r="AG5396" s="372">
        <v>45206</v>
      </c>
      <c r="AH5396">
        <v>4386.66</v>
      </c>
    </row>
    <row r="5397" spans="32:34">
      <c r="AF5397" s="367">
        <f t="shared" si="84"/>
        <v>45200</v>
      </c>
      <c r="AG5397" s="372">
        <v>45207</v>
      </c>
      <c r="AH5397">
        <v>4386.66</v>
      </c>
    </row>
    <row r="5398" spans="32:34">
      <c r="AF5398" s="367">
        <f t="shared" si="84"/>
        <v>45200</v>
      </c>
      <c r="AG5398" s="372">
        <v>45208</v>
      </c>
      <c r="AH5398">
        <v>4386.66</v>
      </c>
    </row>
    <row r="5399" spans="32:34">
      <c r="AF5399" s="367">
        <f t="shared" si="84"/>
        <v>45200</v>
      </c>
      <c r="AG5399" s="372">
        <v>45209</v>
      </c>
      <c r="AH5399">
        <v>4386.66</v>
      </c>
    </row>
    <row r="5400" spans="32:34">
      <c r="AF5400" s="367">
        <f t="shared" si="84"/>
        <v>45200</v>
      </c>
      <c r="AG5400" s="372">
        <v>45210</v>
      </c>
      <c r="AH5400">
        <v>4231.97</v>
      </c>
    </row>
    <row r="5401" spans="32:34">
      <c r="AF5401" s="367">
        <f t="shared" si="84"/>
        <v>45200</v>
      </c>
      <c r="AG5401" s="372">
        <v>45211</v>
      </c>
      <c r="AH5401">
        <v>4212.5</v>
      </c>
    </row>
    <row r="5402" spans="32:34">
      <c r="AF5402" s="367">
        <f t="shared" si="84"/>
        <v>45200</v>
      </c>
      <c r="AG5402" s="372">
        <v>45212</v>
      </c>
      <c r="AH5402">
        <v>4230.6099999999997</v>
      </c>
    </row>
    <row r="5403" spans="32:34">
      <c r="AF5403" s="367">
        <f t="shared" si="84"/>
        <v>45200</v>
      </c>
      <c r="AG5403" s="372">
        <v>45213</v>
      </c>
      <c r="AH5403">
        <v>4249</v>
      </c>
    </row>
    <row r="5404" spans="32:34">
      <c r="AF5404" s="367">
        <f t="shared" si="84"/>
        <v>45200</v>
      </c>
      <c r="AG5404" s="372">
        <v>45214</v>
      </c>
      <c r="AH5404">
        <v>4249</v>
      </c>
    </row>
    <row r="5405" spans="32:34">
      <c r="AF5405" s="367">
        <f t="shared" si="84"/>
        <v>45200</v>
      </c>
      <c r="AG5405" s="372">
        <v>45215</v>
      </c>
      <c r="AH5405">
        <v>4249</v>
      </c>
    </row>
    <row r="5406" spans="32:34">
      <c r="AF5406" s="367">
        <f t="shared" si="84"/>
        <v>45200</v>
      </c>
      <c r="AG5406" s="372">
        <v>45216</v>
      </c>
      <c r="AH5406">
        <v>4249</v>
      </c>
    </row>
    <row r="5407" spans="32:34">
      <c r="AF5407" s="367">
        <f t="shared" si="84"/>
        <v>45200</v>
      </c>
      <c r="AG5407" s="372">
        <v>45217</v>
      </c>
      <c r="AH5407">
        <v>4222.09</v>
      </c>
    </row>
    <row r="5408" spans="32:34">
      <c r="AF5408" s="367">
        <f t="shared" si="84"/>
        <v>45200</v>
      </c>
      <c r="AG5408" s="372">
        <v>45218</v>
      </c>
      <c r="AH5408">
        <v>4227.3900000000003</v>
      </c>
    </row>
    <row r="5409" spans="32:34">
      <c r="AF5409" s="367">
        <f t="shared" si="84"/>
        <v>45200</v>
      </c>
      <c r="AG5409" s="372">
        <v>45219</v>
      </c>
      <c r="AH5409">
        <v>4249.71</v>
      </c>
    </row>
    <row r="5410" spans="32:34">
      <c r="AF5410" s="367">
        <f t="shared" si="84"/>
        <v>45200</v>
      </c>
      <c r="AG5410" s="372">
        <v>45220</v>
      </c>
      <c r="AH5410">
        <v>4238.8500000000004</v>
      </c>
    </row>
    <row r="5411" spans="32:34">
      <c r="AF5411" s="367">
        <f t="shared" si="84"/>
        <v>45200</v>
      </c>
      <c r="AG5411" s="372">
        <v>45221</v>
      </c>
      <c r="AH5411">
        <v>4238.8500000000004</v>
      </c>
    </row>
    <row r="5412" spans="32:34">
      <c r="AF5412" s="367">
        <f t="shared" si="84"/>
        <v>45200</v>
      </c>
      <c r="AG5412" s="372">
        <v>45222</v>
      </c>
      <c r="AH5412">
        <v>4238.8500000000004</v>
      </c>
    </row>
    <row r="5413" spans="32:34">
      <c r="AF5413" s="367">
        <f t="shared" si="84"/>
        <v>45200</v>
      </c>
      <c r="AG5413" s="372">
        <v>45223</v>
      </c>
      <c r="AH5413">
        <v>4221.3900000000003</v>
      </c>
    </row>
    <row r="5414" spans="32:34">
      <c r="AF5414" s="367">
        <f t="shared" si="84"/>
        <v>45200</v>
      </c>
      <c r="AG5414" s="372">
        <v>45224</v>
      </c>
      <c r="AH5414">
        <v>4213.97</v>
      </c>
    </row>
    <row r="5415" spans="32:34">
      <c r="AF5415" s="367">
        <f t="shared" si="84"/>
        <v>45200</v>
      </c>
      <c r="AG5415" s="372">
        <v>45225</v>
      </c>
      <c r="AH5415">
        <v>4201.53</v>
      </c>
    </row>
    <row r="5416" spans="32:34">
      <c r="AF5416" s="367">
        <f t="shared" si="84"/>
        <v>45200</v>
      </c>
      <c r="AG5416" s="372">
        <v>45226</v>
      </c>
      <c r="AH5416">
        <v>4154.9399999999996</v>
      </c>
    </row>
    <row r="5417" spans="32:34">
      <c r="AF5417" s="367">
        <f t="shared" si="84"/>
        <v>45200</v>
      </c>
      <c r="AG5417" s="372">
        <v>45227</v>
      </c>
      <c r="AH5417">
        <v>4120.62</v>
      </c>
    </row>
    <row r="5418" spans="32:34">
      <c r="AF5418" s="367">
        <f t="shared" si="84"/>
        <v>45200</v>
      </c>
      <c r="AG5418" s="372">
        <v>45228</v>
      </c>
      <c r="AH5418">
        <v>4120.62</v>
      </c>
    </row>
    <row r="5419" spans="32:34">
      <c r="AF5419" s="367">
        <f t="shared" si="84"/>
        <v>45200</v>
      </c>
      <c r="AG5419" s="372">
        <v>45229</v>
      </c>
      <c r="AH5419">
        <v>4120.62</v>
      </c>
    </row>
    <row r="5420" spans="32:34">
      <c r="AF5420" s="367">
        <f t="shared" si="84"/>
        <v>45200</v>
      </c>
      <c r="AG5420" s="372">
        <v>45230</v>
      </c>
      <c r="AH5420">
        <v>4060.83</v>
      </c>
    </row>
    <row r="5421" spans="32:34">
      <c r="AF5421" s="367">
        <f t="shared" si="84"/>
        <v>45231</v>
      </c>
      <c r="AG5421" s="372">
        <v>45231</v>
      </c>
      <c r="AH5421">
        <v>4114.29</v>
      </c>
    </row>
    <row r="5422" spans="32:34">
      <c r="AF5422" s="367">
        <f t="shared" si="84"/>
        <v>45231</v>
      </c>
      <c r="AG5422" s="372">
        <v>45232</v>
      </c>
      <c r="AH5422">
        <v>4117.71</v>
      </c>
    </row>
    <row r="5423" spans="32:34">
      <c r="AF5423" s="367">
        <f t="shared" si="84"/>
        <v>45231</v>
      </c>
      <c r="AG5423" s="372">
        <v>45233</v>
      </c>
      <c r="AH5423">
        <v>4047.11</v>
      </c>
    </row>
    <row r="5424" spans="32:34">
      <c r="AF5424" s="367">
        <f t="shared" si="84"/>
        <v>45231</v>
      </c>
      <c r="AG5424" s="372">
        <v>45234</v>
      </c>
      <c r="AH5424">
        <v>3975.09</v>
      </c>
    </row>
    <row r="5425" spans="32:34">
      <c r="AF5425" s="367">
        <f t="shared" si="84"/>
        <v>45231</v>
      </c>
      <c r="AG5425" s="372">
        <v>45235</v>
      </c>
      <c r="AH5425">
        <v>3975.09</v>
      </c>
    </row>
    <row r="5426" spans="32:34">
      <c r="AF5426" s="367">
        <f t="shared" si="84"/>
        <v>45231</v>
      </c>
      <c r="AG5426" s="372">
        <v>45236</v>
      </c>
      <c r="AH5426">
        <v>3975.09</v>
      </c>
    </row>
    <row r="5427" spans="32:34">
      <c r="AF5427" s="367">
        <f t="shared" si="84"/>
        <v>45231</v>
      </c>
      <c r="AG5427" s="372">
        <v>45237</v>
      </c>
      <c r="AH5427">
        <v>3975.09</v>
      </c>
    </row>
    <row r="5428" spans="32:34">
      <c r="AF5428" s="367">
        <f t="shared" si="84"/>
        <v>45231</v>
      </c>
      <c r="AG5428" s="372">
        <v>45238</v>
      </c>
      <c r="AH5428">
        <v>4005.06</v>
      </c>
    </row>
    <row r="5429" spans="32:34">
      <c r="AF5429" s="367">
        <f t="shared" si="84"/>
        <v>45231</v>
      </c>
      <c r="AG5429" s="372">
        <v>45239</v>
      </c>
      <c r="AH5429">
        <v>4065.79</v>
      </c>
    </row>
    <row r="5430" spans="32:34">
      <c r="AF5430" s="367">
        <f t="shared" si="84"/>
        <v>45231</v>
      </c>
      <c r="AG5430" s="372">
        <v>45240</v>
      </c>
      <c r="AH5430">
        <v>4056.94</v>
      </c>
    </row>
    <row r="5431" spans="32:34">
      <c r="AF5431" s="367">
        <f t="shared" si="84"/>
        <v>45231</v>
      </c>
      <c r="AG5431" s="372">
        <v>45241</v>
      </c>
      <c r="AH5431">
        <v>4037.19</v>
      </c>
    </row>
    <row r="5432" spans="32:34">
      <c r="AF5432" s="367">
        <f t="shared" si="84"/>
        <v>45231</v>
      </c>
      <c r="AG5432" s="372">
        <v>45242</v>
      </c>
      <c r="AH5432">
        <v>4037.19</v>
      </c>
    </row>
    <row r="5433" spans="32:34">
      <c r="AF5433" s="367">
        <f t="shared" si="84"/>
        <v>45231</v>
      </c>
      <c r="AG5433" s="372">
        <v>45243</v>
      </c>
      <c r="AH5433">
        <v>4037.19</v>
      </c>
    </row>
    <row r="5434" spans="32:34">
      <c r="AF5434" s="367">
        <f t="shared" si="84"/>
        <v>45231</v>
      </c>
      <c r="AG5434" s="372">
        <v>45244</v>
      </c>
      <c r="AH5434">
        <v>4037.19</v>
      </c>
    </row>
    <row r="5435" spans="32:34">
      <c r="AF5435" s="367">
        <f t="shared" si="84"/>
        <v>45231</v>
      </c>
      <c r="AG5435" s="372">
        <v>45245</v>
      </c>
      <c r="AH5435">
        <v>3963.57</v>
      </c>
    </row>
    <row r="5436" spans="32:34">
      <c r="AF5436" s="367">
        <f t="shared" si="84"/>
        <v>45231</v>
      </c>
      <c r="AG5436" s="372">
        <v>45246</v>
      </c>
      <c r="AH5436">
        <v>3976.84</v>
      </c>
    </row>
    <row r="5437" spans="32:34">
      <c r="AF5437" s="367">
        <f t="shared" si="84"/>
        <v>45231</v>
      </c>
      <c r="AG5437" s="372">
        <v>45247</v>
      </c>
      <c r="AH5437">
        <v>4077.44</v>
      </c>
    </row>
    <row r="5438" spans="32:34">
      <c r="AF5438" s="367">
        <f t="shared" si="84"/>
        <v>45231</v>
      </c>
      <c r="AG5438" s="372">
        <v>45248</v>
      </c>
      <c r="AH5438">
        <v>4116.59</v>
      </c>
    </row>
    <row r="5439" spans="32:34">
      <c r="AF5439" s="367">
        <f t="shared" si="84"/>
        <v>45231</v>
      </c>
      <c r="AG5439" s="372">
        <v>45249</v>
      </c>
      <c r="AH5439">
        <v>4116.59</v>
      </c>
    </row>
    <row r="5440" spans="32:34">
      <c r="AF5440" s="367">
        <f t="shared" si="84"/>
        <v>45231</v>
      </c>
      <c r="AG5440" s="372">
        <v>45250</v>
      </c>
      <c r="AH5440">
        <v>4116.59</v>
      </c>
    </row>
    <row r="5441" spans="32:34">
      <c r="AF5441" s="367">
        <f t="shared" si="84"/>
        <v>45231</v>
      </c>
      <c r="AG5441" s="372">
        <v>45251</v>
      </c>
      <c r="AH5441">
        <v>4033.83</v>
      </c>
    </row>
    <row r="5442" spans="32:34">
      <c r="AF5442" s="367">
        <f t="shared" si="84"/>
        <v>45231</v>
      </c>
      <c r="AG5442" s="372">
        <v>45252</v>
      </c>
      <c r="AH5442">
        <v>4060.15</v>
      </c>
    </row>
    <row r="5443" spans="32:34">
      <c r="AF5443" s="367">
        <f t="shared" ref="AF5443:AF5506" si="85">+DATE(YEAR(AG5443),MONTH(AG5443),1)</f>
        <v>45231</v>
      </c>
      <c r="AG5443" s="372">
        <v>45253</v>
      </c>
      <c r="AH5443">
        <v>4092.33</v>
      </c>
    </row>
    <row r="5444" spans="32:34">
      <c r="AF5444" s="367">
        <f t="shared" si="85"/>
        <v>45231</v>
      </c>
      <c r="AG5444" s="372">
        <v>45254</v>
      </c>
      <c r="AH5444">
        <v>4092.33</v>
      </c>
    </row>
    <row r="5445" spans="32:34">
      <c r="AF5445" s="367">
        <f t="shared" si="85"/>
        <v>45231</v>
      </c>
      <c r="AG5445" s="372">
        <v>45255</v>
      </c>
      <c r="AH5445">
        <v>4044.51</v>
      </c>
    </row>
    <row r="5446" spans="32:34">
      <c r="AF5446" s="367">
        <f t="shared" si="85"/>
        <v>45231</v>
      </c>
      <c r="AG5446" s="372">
        <v>45256</v>
      </c>
      <c r="AH5446">
        <v>4044.51</v>
      </c>
    </row>
    <row r="5447" spans="32:34">
      <c r="AF5447" s="367">
        <f t="shared" si="85"/>
        <v>45231</v>
      </c>
      <c r="AG5447" s="372">
        <v>45257</v>
      </c>
      <c r="AH5447">
        <v>4044.51</v>
      </c>
    </row>
    <row r="5448" spans="32:34">
      <c r="AF5448" s="367">
        <f t="shared" si="85"/>
        <v>45231</v>
      </c>
      <c r="AG5448" s="372">
        <v>45258</v>
      </c>
      <c r="AH5448">
        <v>3989.89</v>
      </c>
    </row>
    <row r="5449" spans="32:34">
      <c r="AF5449" s="367">
        <f t="shared" si="85"/>
        <v>45231</v>
      </c>
      <c r="AG5449" s="372">
        <v>45259</v>
      </c>
      <c r="AH5449">
        <v>3957.77</v>
      </c>
    </row>
    <row r="5450" spans="32:34">
      <c r="AF5450" s="367">
        <f t="shared" si="85"/>
        <v>45231</v>
      </c>
      <c r="AG5450" s="372">
        <v>45260</v>
      </c>
      <c r="AH5450">
        <v>3980.67</v>
      </c>
    </row>
    <row r="5451" spans="32:34">
      <c r="AF5451" s="367">
        <f t="shared" si="85"/>
        <v>45261</v>
      </c>
      <c r="AG5451" s="372">
        <v>45261</v>
      </c>
      <c r="AH5451">
        <v>4045.22</v>
      </c>
    </row>
    <row r="5452" spans="32:34">
      <c r="AF5452" s="367">
        <f t="shared" si="85"/>
        <v>45261</v>
      </c>
      <c r="AG5452" s="372">
        <v>45262</v>
      </c>
      <c r="AH5452">
        <v>3983.15</v>
      </c>
    </row>
    <row r="5453" spans="32:34">
      <c r="AF5453" s="367">
        <f t="shared" si="85"/>
        <v>45261</v>
      </c>
      <c r="AG5453" s="372">
        <v>45263</v>
      </c>
      <c r="AH5453">
        <v>3983.15</v>
      </c>
    </row>
    <row r="5454" spans="32:34">
      <c r="AF5454" s="367">
        <f t="shared" si="85"/>
        <v>45261</v>
      </c>
      <c r="AG5454" s="372">
        <v>45264</v>
      </c>
      <c r="AH5454">
        <v>3983.15</v>
      </c>
    </row>
    <row r="5455" spans="32:34">
      <c r="AF5455" s="367">
        <f t="shared" si="85"/>
        <v>45261</v>
      </c>
      <c r="AG5455" s="372">
        <v>45265</v>
      </c>
      <c r="AH5455">
        <v>3999.91</v>
      </c>
    </row>
    <row r="5456" spans="32:34">
      <c r="AF5456" s="367">
        <f t="shared" si="85"/>
        <v>45261</v>
      </c>
      <c r="AG5456" s="372">
        <v>45266</v>
      </c>
      <c r="AH5456">
        <v>4023.21</v>
      </c>
    </row>
    <row r="5457" spans="32:34">
      <c r="AF5457" s="367">
        <f t="shared" si="85"/>
        <v>45261</v>
      </c>
      <c r="AG5457" s="372">
        <v>45267</v>
      </c>
      <c r="AH5457">
        <v>3989.55</v>
      </c>
    </row>
    <row r="5458" spans="32:34">
      <c r="AF5458" s="367">
        <f t="shared" si="85"/>
        <v>45261</v>
      </c>
      <c r="AG5458" s="372">
        <v>45268</v>
      </c>
      <c r="AH5458">
        <v>3998.51</v>
      </c>
    </row>
    <row r="5459" spans="32:34">
      <c r="AF5459" s="367">
        <f t="shared" si="85"/>
        <v>45261</v>
      </c>
      <c r="AG5459" s="372">
        <v>45269</v>
      </c>
      <c r="AH5459">
        <v>3998.51</v>
      </c>
    </row>
    <row r="5460" spans="32:34">
      <c r="AF5460" s="367">
        <f t="shared" si="85"/>
        <v>45261</v>
      </c>
      <c r="AG5460" s="372">
        <v>45270</v>
      </c>
      <c r="AH5460">
        <v>3998.51</v>
      </c>
    </row>
    <row r="5461" spans="32:34">
      <c r="AF5461" s="367">
        <f t="shared" si="85"/>
        <v>45261</v>
      </c>
      <c r="AG5461" s="372">
        <v>45271</v>
      </c>
      <c r="AH5461">
        <v>3998.51</v>
      </c>
    </row>
    <row r="5462" spans="32:34">
      <c r="AF5462" s="367">
        <f t="shared" si="85"/>
        <v>45261</v>
      </c>
      <c r="AG5462" s="372">
        <v>45272</v>
      </c>
      <c r="AH5462">
        <v>3982.5</v>
      </c>
    </row>
    <row r="5463" spans="32:34">
      <c r="AF5463" s="367">
        <f t="shared" si="85"/>
        <v>45261</v>
      </c>
      <c r="AG5463" s="372">
        <v>45273</v>
      </c>
      <c r="AH5463">
        <v>3990.88</v>
      </c>
    </row>
    <row r="5464" spans="32:34">
      <c r="AF5464" s="367">
        <f t="shared" si="85"/>
        <v>45261</v>
      </c>
      <c r="AG5464" s="372">
        <v>45274</v>
      </c>
      <c r="AH5464">
        <v>3999.43</v>
      </c>
    </row>
    <row r="5465" spans="32:34">
      <c r="AF5465" s="367">
        <f t="shared" si="85"/>
        <v>45261</v>
      </c>
      <c r="AG5465" s="372">
        <v>45275</v>
      </c>
      <c r="AH5465">
        <v>3955.88</v>
      </c>
    </row>
    <row r="5466" spans="32:34">
      <c r="AF5466" s="367">
        <f t="shared" si="85"/>
        <v>45261</v>
      </c>
      <c r="AG5466" s="372">
        <v>45276</v>
      </c>
      <c r="AH5466">
        <v>3956.76</v>
      </c>
    </row>
    <row r="5467" spans="32:34">
      <c r="AF5467" s="367">
        <f t="shared" si="85"/>
        <v>45261</v>
      </c>
      <c r="AG5467" s="372">
        <v>45277</v>
      </c>
      <c r="AH5467">
        <v>3956.76</v>
      </c>
    </row>
    <row r="5468" spans="32:34">
      <c r="AF5468" s="367">
        <f t="shared" si="85"/>
        <v>45261</v>
      </c>
      <c r="AG5468" s="372">
        <v>45278</v>
      </c>
      <c r="AH5468">
        <v>3956.76</v>
      </c>
    </row>
    <row r="5469" spans="32:34">
      <c r="AF5469" s="367">
        <f t="shared" si="85"/>
        <v>45261</v>
      </c>
      <c r="AG5469" s="372">
        <v>45279</v>
      </c>
      <c r="AH5469">
        <v>3932.59</v>
      </c>
    </row>
    <row r="5470" spans="32:34">
      <c r="AF5470" s="367">
        <f t="shared" si="85"/>
        <v>45261</v>
      </c>
      <c r="AG5470" s="372">
        <v>45280</v>
      </c>
      <c r="AH5470">
        <v>3925.77</v>
      </c>
    </row>
    <row r="5471" spans="32:34">
      <c r="AF5471" s="367">
        <f t="shared" si="85"/>
        <v>45261</v>
      </c>
      <c r="AG5471" s="372">
        <v>45281</v>
      </c>
      <c r="AH5471">
        <v>3948.54</v>
      </c>
    </row>
    <row r="5472" spans="32:34">
      <c r="AF5472" s="367">
        <f t="shared" si="85"/>
        <v>45261</v>
      </c>
      <c r="AG5472" s="372">
        <v>45282</v>
      </c>
      <c r="AH5472">
        <v>3943.03</v>
      </c>
    </row>
    <row r="5473" spans="32:34">
      <c r="AF5473" s="367">
        <f t="shared" si="85"/>
        <v>45261</v>
      </c>
      <c r="AG5473" s="372">
        <v>45283</v>
      </c>
      <c r="AH5473">
        <v>3915.43</v>
      </c>
    </row>
    <row r="5474" spans="32:34">
      <c r="AF5474" s="367">
        <f t="shared" si="85"/>
        <v>45261</v>
      </c>
      <c r="AG5474" s="372">
        <v>45284</v>
      </c>
      <c r="AH5474">
        <v>3915.43</v>
      </c>
    </row>
    <row r="5475" spans="32:34">
      <c r="AF5475" s="367">
        <f t="shared" si="85"/>
        <v>45261</v>
      </c>
      <c r="AG5475" s="372">
        <v>45285</v>
      </c>
      <c r="AH5475">
        <v>3915.43</v>
      </c>
    </row>
    <row r="5476" spans="32:34">
      <c r="AF5476" s="367">
        <f t="shared" si="85"/>
        <v>45261</v>
      </c>
      <c r="AG5476" s="372">
        <v>45286</v>
      </c>
      <c r="AH5476">
        <v>3915.43</v>
      </c>
    </row>
    <row r="5477" spans="32:34">
      <c r="AF5477" s="367">
        <f t="shared" si="85"/>
        <v>45261</v>
      </c>
      <c r="AG5477" s="372">
        <v>45287</v>
      </c>
      <c r="AH5477">
        <v>3871.45</v>
      </c>
    </row>
    <row r="5478" spans="32:34">
      <c r="AF5478" s="367">
        <f t="shared" si="85"/>
        <v>45261</v>
      </c>
      <c r="AG5478" s="372">
        <v>45288</v>
      </c>
      <c r="AH5478">
        <v>3844.81</v>
      </c>
    </row>
    <row r="5479" spans="32:34">
      <c r="AF5479" s="367">
        <f t="shared" si="85"/>
        <v>45261</v>
      </c>
      <c r="AG5479" s="372">
        <v>45289</v>
      </c>
      <c r="AH5479">
        <v>3822.05</v>
      </c>
    </row>
    <row r="5480" spans="32:34">
      <c r="AF5480" s="367">
        <f t="shared" si="85"/>
        <v>45261</v>
      </c>
      <c r="AG5480" s="372">
        <v>45290</v>
      </c>
      <c r="AH5480">
        <v>3822.05</v>
      </c>
    </row>
    <row r="5481" spans="32:34">
      <c r="AF5481" s="367">
        <f t="shared" si="85"/>
        <v>45261</v>
      </c>
      <c r="AG5481" s="372">
        <v>45291</v>
      </c>
      <c r="AH5481">
        <v>3822.05</v>
      </c>
    </row>
    <row r="5482" spans="32:34">
      <c r="AF5482" s="367">
        <f t="shared" si="85"/>
        <v>45292</v>
      </c>
      <c r="AG5482" s="372">
        <v>45292</v>
      </c>
      <c r="AH5482">
        <v>3822.05</v>
      </c>
    </row>
    <row r="5483" spans="32:34">
      <c r="AF5483" s="367">
        <f t="shared" si="85"/>
        <v>45292</v>
      </c>
      <c r="AG5483" s="372">
        <v>45293</v>
      </c>
      <c r="AH5483">
        <v>3822.05</v>
      </c>
    </row>
    <row r="5484" spans="32:34">
      <c r="AF5484" s="367">
        <f t="shared" si="85"/>
        <v>45292</v>
      </c>
      <c r="AG5484" s="372">
        <v>45294</v>
      </c>
      <c r="AH5484">
        <v>3895.53</v>
      </c>
    </row>
    <row r="5485" spans="32:34">
      <c r="AF5485" s="367">
        <f t="shared" si="85"/>
        <v>45292</v>
      </c>
      <c r="AG5485" s="372">
        <v>45295</v>
      </c>
      <c r="AH5485">
        <v>3914.6</v>
      </c>
    </row>
    <row r="5486" spans="32:34">
      <c r="AF5486" s="367">
        <f t="shared" si="85"/>
        <v>45292</v>
      </c>
      <c r="AG5486" s="372">
        <v>45296</v>
      </c>
      <c r="AH5486">
        <v>3927.64</v>
      </c>
    </row>
    <row r="5487" spans="32:34">
      <c r="AF5487" s="367">
        <f t="shared" si="85"/>
        <v>45292</v>
      </c>
      <c r="AG5487" s="372">
        <v>45297</v>
      </c>
      <c r="AH5487">
        <v>3912.93</v>
      </c>
    </row>
    <row r="5488" spans="32:34">
      <c r="AF5488" s="367">
        <f t="shared" si="85"/>
        <v>45292</v>
      </c>
      <c r="AG5488" s="372">
        <v>45298</v>
      </c>
      <c r="AH5488">
        <v>3912.93</v>
      </c>
    </row>
    <row r="5489" spans="32:34">
      <c r="AF5489" s="367">
        <f t="shared" si="85"/>
        <v>45292</v>
      </c>
      <c r="AG5489" s="372">
        <v>45299</v>
      </c>
      <c r="AH5489">
        <v>3912.93</v>
      </c>
    </row>
    <row r="5490" spans="32:34">
      <c r="AF5490" s="367">
        <f t="shared" si="85"/>
        <v>45292</v>
      </c>
      <c r="AG5490" s="372">
        <v>45300</v>
      </c>
      <c r="AH5490">
        <v>3912.93</v>
      </c>
    </row>
    <row r="5491" spans="32:34">
      <c r="AF5491" s="367">
        <f t="shared" si="85"/>
        <v>45292</v>
      </c>
      <c r="AG5491" s="372">
        <v>45301</v>
      </c>
      <c r="AH5491">
        <v>3934.13</v>
      </c>
    </row>
    <row r="5492" spans="32:34">
      <c r="AF5492" s="367">
        <f t="shared" si="85"/>
        <v>45292</v>
      </c>
      <c r="AG5492" s="372">
        <v>45302</v>
      </c>
      <c r="AH5492">
        <v>3946.39</v>
      </c>
    </row>
    <row r="5493" spans="32:34">
      <c r="AF5493" s="367">
        <f t="shared" si="85"/>
        <v>45292</v>
      </c>
      <c r="AG5493" s="372">
        <v>45303</v>
      </c>
      <c r="AH5493">
        <v>3929.79</v>
      </c>
    </row>
    <row r="5494" spans="32:34">
      <c r="AF5494" s="367">
        <f t="shared" si="85"/>
        <v>45292</v>
      </c>
      <c r="AG5494" s="372">
        <v>45304</v>
      </c>
      <c r="AH5494">
        <v>3901.38</v>
      </c>
    </row>
    <row r="5495" spans="32:34">
      <c r="AF5495" s="367">
        <f t="shared" si="85"/>
        <v>45292</v>
      </c>
      <c r="AG5495" s="372">
        <v>45305</v>
      </c>
      <c r="AH5495">
        <v>3901.38</v>
      </c>
    </row>
    <row r="5496" spans="32:34">
      <c r="AF5496" s="367">
        <f t="shared" si="85"/>
        <v>45292</v>
      </c>
      <c r="AG5496" s="372">
        <v>45306</v>
      </c>
      <c r="AH5496">
        <v>3901.38</v>
      </c>
    </row>
    <row r="5497" spans="32:34">
      <c r="AF5497" s="367">
        <f t="shared" si="85"/>
        <v>45292</v>
      </c>
      <c r="AG5497" s="372">
        <v>45307</v>
      </c>
      <c r="AH5497">
        <v>3901.38</v>
      </c>
    </row>
    <row r="5498" spans="32:34">
      <c r="AF5498" s="367">
        <f t="shared" si="85"/>
        <v>45292</v>
      </c>
      <c r="AG5498" s="372">
        <v>45308</v>
      </c>
      <c r="AH5498">
        <v>3940.85</v>
      </c>
    </row>
    <row r="5499" spans="32:34">
      <c r="AF5499" s="367">
        <f t="shared" si="85"/>
        <v>45292</v>
      </c>
      <c r="AG5499" s="372">
        <v>45309</v>
      </c>
      <c r="AH5499">
        <v>3969.5</v>
      </c>
    </row>
    <row r="5500" spans="32:34">
      <c r="AF5500" s="367">
        <f t="shared" si="85"/>
        <v>45292</v>
      </c>
      <c r="AG5500" s="372">
        <v>45310</v>
      </c>
      <c r="AH5500">
        <v>3939.89</v>
      </c>
    </row>
    <row r="5501" spans="32:34">
      <c r="AF5501" s="367">
        <f t="shared" si="85"/>
        <v>45292</v>
      </c>
      <c r="AG5501" s="372">
        <v>45311</v>
      </c>
      <c r="AH5501">
        <v>3916.39</v>
      </c>
    </row>
    <row r="5502" spans="32:34">
      <c r="AF5502" s="367">
        <f t="shared" si="85"/>
        <v>45292</v>
      </c>
      <c r="AG5502" s="372">
        <v>45312</v>
      </c>
      <c r="AH5502">
        <v>3916.39</v>
      </c>
    </row>
    <row r="5503" spans="32:34">
      <c r="AF5503" s="367">
        <f t="shared" si="85"/>
        <v>45292</v>
      </c>
      <c r="AG5503" s="372">
        <v>45313</v>
      </c>
      <c r="AH5503">
        <v>3916.39</v>
      </c>
    </row>
    <row r="5504" spans="32:34">
      <c r="AF5504" s="367">
        <f t="shared" si="85"/>
        <v>45292</v>
      </c>
      <c r="AG5504" s="372">
        <v>45314</v>
      </c>
      <c r="AH5504">
        <v>3904.49</v>
      </c>
    </row>
    <row r="5505" spans="32:34">
      <c r="AF5505" s="367">
        <f t="shared" si="85"/>
        <v>45292</v>
      </c>
      <c r="AG5505" s="372">
        <v>45315</v>
      </c>
      <c r="AH5505">
        <v>3934.62</v>
      </c>
    </row>
    <row r="5506" spans="32:34">
      <c r="AF5506" s="367">
        <f t="shared" si="85"/>
        <v>45292</v>
      </c>
      <c r="AG5506" s="372">
        <v>45316</v>
      </c>
      <c r="AH5506">
        <v>3929.95</v>
      </c>
    </row>
    <row r="5507" spans="32:34">
      <c r="AF5507" s="367">
        <f t="shared" ref="AF5507:AF5570" si="86">+DATE(YEAR(AG5507),MONTH(AG5507),1)</f>
        <v>45292</v>
      </c>
      <c r="AG5507" s="372">
        <v>45317</v>
      </c>
      <c r="AH5507">
        <v>3932.96</v>
      </c>
    </row>
    <row r="5508" spans="32:34">
      <c r="AF5508" s="367">
        <f t="shared" si="86"/>
        <v>45292</v>
      </c>
      <c r="AG5508" s="372">
        <v>45318</v>
      </c>
      <c r="AH5508">
        <v>3925.26</v>
      </c>
    </row>
    <row r="5509" spans="32:34">
      <c r="AF5509" s="367">
        <f t="shared" si="86"/>
        <v>45292</v>
      </c>
      <c r="AG5509" s="372">
        <v>45319</v>
      </c>
      <c r="AH5509">
        <v>3925.26</v>
      </c>
    </row>
    <row r="5510" spans="32:34">
      <c r="AF5510" s="367">
        <f t="shared" si="86"/>
        <v>45292</v>
      </c>
      <c r="AG5510" s="372">
        <v>45320</v>
      </c>
      <c r="AH5510">
        <v>3925.26</v>
      </c>
    </row>
    <row r="5511" spans="32:34">
      <c r="AF5511" s="367">
        <f t="shared" si="86"/>
        <v>45292</v>
      </c>
      <c r="AG5511" s="372">
        <v>45321</v>
      </c>
      <c r="AH5511">
        <v>3918.93</v>
      </c>
    </row>
    <row r="5512" spans="32:34">
      <c r="AF5512" s="367">
        <f t="shared" si="86"/>
        <v>45292</v>
      </c>
      <c r="AG5512" s="372">
        <v>45322</v>
      </c>
      <c r="AH5512">
        <v>3925.6</v>
      </c>
    </row>
    <row r="5513" spans="32:34">
      <c r="AF5513" s="367">
        <f t="shared" si="86"/>
        <v>45323</v>
      </c>
      <c r="AG5513" s="372">
        <v>45323</v>
      </c>
      <c r="AH5513">
        <v>3915.56</v>
      </c>
    </row>
    <row r="5514" spans="32:34">
      <c r="AF5514" s="367">
        <f t="shared" si="86"/>
        <v>45323</v>
      </c>
      <c r="AG5514" s="372">
        <v>45324</v>
      </c>
      <c r="AH5514">
        <v>3889.05</v>
      </c>
    </row>
    <row r="5515" spans="32:34">
      <c r="AF5515" s="367">
        <f t="shared" si="86"/>
        <v>45323</v>
      </c>
      <c r="AG5515" s="372">
        <v>45325</v>
      </c>
      <c r="AH5515">
        <v>3928.11</v>
      </c>
    </row>
    <row r="5516" spans="32:34">
      <c r="AF5516" s="367">
        <f t="shared" si="86"/>
        <v>45323</v>
      </c>
      <c r="AG5516" s="372">
        <v>45326</v>
      </c>
      <c r="AH5516">
        <v>3928.11</v>
      </c>
    </row>
    <row r="5517" spans="32:34">
      <c r="AF5517" s="367">
        <f t="shared" si="86"/>
        <v>45323</v>
      </c>
      <c r="AG5517" s="372">
        <v>45327</v>
      </c>
      <c r="AH5517">
        <v>3928.11</v>
      </c>
    </row>
    <row r="5518" spans="32:34">
      <c r="AF5518" s="367">
        <f t="shared" si="86"/>
        <v>45323</v>
      </c>
      <c r="AG5518" s="372">
        <v>45328</v>
      </c>
      <c r="AH5518">
        <v>3975.74</v>
      </c>
    </row>
    <row r="5519" spans="32:34">
      <c r="AF5519" s="367">
        <f t="shared" si="86"/>
        <v>45323</v>
      </c>
      <c r="AG5519" s="372">
        <v>45329</v>
      </c>
      <c r="AH5519">
        <v>3950.57</v>
      </c>
    </row>
    <row r="5520" spans="32:34">
      <c r="AF5520" s="367">
        <f t="shared" si="86"/>
        <v>45323</v>
      </c>
      <c r="AG5520" s="372">
        <v>45330</v>
      </c>
      <c r="AH5520">
        <v>3962.23</v>
      </c>
    </row>
    <row r="5521" spans="32:34">
      <c r="AF5521" s="367">
        <f t="shared" si="86"/>
        <v>45323</v>
      </c>
      <c r="AG5521" s="372">
        <v>45331</v>
      </c>
      <c r="AH5521">
        <v>3954.68</v>
      </c>
    </row>
    <row r="5522" spans="32:34">
      <c r="AF5522" s="367">
        <f t="shared" si="86"/>
        <v>45323</v>
      </c>
      <c r="AG5522" s="372">
        <v>45332</v>
      </c>
      <c r="AH5522">
        <v>3926.08</v>
      </c>
    </row>
    <row r="5523" spans="32:34">
      <c r="AF5523" s="367">
        <f t="shared" si="86"/>
        <v>45323</v>
      </c>
      <c r="AG5523" s="372">
        <v>45333</v>
      </c>
      <c r="AH5523">
        <v>3926.08</v>
      </c>
    </row>
    <row r="5524" spans="32:34">
      <c r="AF5524" s="367">
        <f t="shared" si="86"/>
        <v>45323</v>
      </c>
      <c r="AG5524" s="372">
        <v>45334</v>
      </c>
      <c r="AH5524">
        <v>3926.08</v>
      </c>
    </row>
    <row r="5525" spans="32:34">
      <c r="AF5525" s="367">
        <f t="shared" si="86"/>
        <v>45323</v>
      </c>
      <c r="AG5525" s="372">
        <v>45335</v>
      </c>
      <c r="AH5525">
        <v>3915.28</v>
      </c>
    </row>
    <row r="5526" spans="32:34">
      <c r="AF5526" s="367">
        <f t="shared" si="86"/>
        <v>45323</v>
      </c>
      <c r="AG5526" s="372">
        <v>45336</v>
      </c>
      <c r="AH5526">
        <v>3929</v>
      </c>
    </row>
    <row r="5527" spans="32:34">
      <c r="AF5527" s="367">
        <f t="shared" si="86"/>
        <v>45323</v>
      </c>
      <c r="AG5527" s="372">
        <v>45337</v>
      </c>
      <c r="AH5527">
        <v>3916.61</v>
      </c>
    </row>
    <row r="5528" spans="32:34">
      <c r="AF5528" s="367">
        <f t="shared" si="86"/>
        <v>45323</v>
      </c>
      <c r="AG5528" s="372">
        <v>45338</v>
      </c>
      <c r="AH5528">
        <v>3909.89</v>
      </c>
    </row>
    <row r="5529" spans="32:34">
      <c r="AF5529" s="367">
        <f t="shared" si="86"/>
        <v>45323</v>
      </c>
      <c r="AG5529" s="372">
        <v>45339</v>
      </c>
      <c r="AH5529">
        <v>3917.84</v>
      </c>
    </row>
    <row r="5530" spans="32:34">
      <c r="AF5530" s="367">
        <f t="shared" si="86"/>
        <v>45323</v>
      </c>
      <c r="AG5530" s="372">
        <v>45340</v>
      </c>
      <c r="AH5530">
        <v>3917.84</v>
      </c>
    </row>
    <row r="5531" spans="32:34">
      <c r="AF5531" s="367">
        <f t="shared" si="86"/>
        <v>45323</v>
      </c>
      <c r="AG5531" s="372">
        <v>45341</v>
      </c>
      <c r="AH5531">
        <v>3917.84</v>
      </c>
    </row>
    <row r="5532" spans="32:34">
      <c r="AF5532" s="367">
        <f t="shared" si="86"/>
        <v>45323</v>
      </c>
      <c r="AG5532" s="372">
        <v>45342</v>
      </c>
      <c r="AH5532">
        <v>3917.84</v>
      </c>
    </row>
    <row r="5533" spans="32:34">
      <c r="AF5533" s="367">
        <f t="shared" si="86"/>
        <v>45323</v>
      </c>
      <c r="AG5533" s="372">
        <v>45343</v>
      </c>
      <c r="AH5533">
        <v>3912.97</v>
      </c>
    </row>
    <row r="5534" spans="32:34">
      <c r="AF5534" s="367">
        <f t="shared" si="86"/>
        <v>45323</v>
      </c>
      <c r="AG5534" s="372">
        <v>45344</v>
      </c>
      <c r="AH5534">
        <v>3930.26</v>
      </c>
    </row>
    <row r="5535" spans="32:34">
      <c r="AF5535" s="367">
        <f t="shared" si="86"/>
        <v>45323</v>
      </c>
      <c r="AG5535" s="372">
        <v>45345</v>
      </c>
      <c r="AH5535">
        <v>3935.64</v>
      </c>
    </row>
    <row r="5536" spans="32:34">
      <c r="AF5536" s="367">
        <f t="shared" si="86"/>
        <v>45323</v>
      </c>
      <c r="AG5536" s="372">
        <v>45346</v>
      </c>
      <c r="AH5536">
        <v>3949.36</v>
      </c>
    </row>
    <row r="5537" spans="32:34">
      <c r="AF5537" s="367">
        <f t="shared" si="86"/>
        <v>45323</v>
      </c>
      <c r="AG5537" s="372">
        <v>45347</v>
      </c>
      <c r="AH5537">
        <v>3949.36</v>
      </c>
    </row>
    <row r="5538" spans="32:34">
      <c r="AF5538" s="367">
        <f t="shared" si="86"/>
        <v>45323</v>
      </c>
      <c r="AG5538" s="372">
        <v>45348</v>
      </c>
      <c r="AH5538">
        <v>3949.36</v>
      </c>
    </row>
    <row r="5539" spans="32:34">
      <c r="AF5539" s="367">
        <f t="shared" si="86"/>
        <v>45323</v>
      </c>
      <c r="AG5539" s="372">
        <v>45349</v>
      </c>
      <c r="AH5539">
        <v>3963.08</v>
      </c>
    </row>
    <row r="5540" spans="32:34">
      <c r="AF5540" s="367">
        <f t="shared" si="86"/>
        <v>45323</v>
      </c>
      <c r="AG5540" s="372">
        <v>45350</v>
      </c>
      <c r="AH5540">
        <v>3935.59</v>
      </c>
    </row>
    <row r="5541" spans="32:34">
      <c r="AF5541" s="367">
        <f t="shared" si="86"/>
        <v>45323</v>
      </c>
      <c r="AG5541" s="372">
        <v>45351</v>
      </c>
      <c r="AH5541">
        <v>3933.56</v>
      </c>
    </row>
    <row r="5542" spans="32:34">
      <c r="AF5542" s="367">
        <f t="shared" si="86"/>
        <v>45352</v>
      </c>
      <c r="AG5542" s="372">
        <v>45352</v>
      </c>
      <c r="AH5542">
        <v>3931.31</v>
      </c>
    </row>
    <row r="5543" spans="32:34">
      <c r="AF5543" s="367">
        <f t="shared" si="86"/>
        <v>45352</v>
      </c>
      <c r="AG5543" s="372">
        <v>45353</v>
      </c>
      <c r="AH5543">
        <v>3934.82</v>
      </c>
    </row>
    <row r="5544" spans="32:34">
      <c r="AF5544" s="367">
        <f t="shared" si="86"/>
        <v>45352</v>
      </c>
      <c r="AG5544" s="372">
        <v>45354</v>
      </c>
      <c r="AH5544">
        <v>3934.82</v>
      </c>
    </row>
    <row r="5545" spans="32:34">
      <c r="AF5545" s="367">
        <f t="shared" si="86"/>
        <v>45352</v>
      </c>
      <c r="AG5545" s="372">
        <v>45355</v>
      </c>
      <c r="AH5545">
        <v>3934.82</v>
      </c>
    </row>
    <row r="5546" spans="32:34">
      <c r="AF5546" s="367">
        <f t="shared" si="86"/>
        <v>45352</v>
      </c>
      <c r="AG5546" s="372">
        <v>45356</v>
      </c>
      <c r="AH5546">
        <v>3948.67</v>
      </c>
    </row>
    <row r="5547" spans="32:34">
      <c r="AF5547" s="367">
        <f t="shared" si="86"/>
        <v>45352</v>
      </c>
      <c r="AG5547" s="372">
        <v>45357</v>
      </c>
      <c r="AH5547">
        <v>3945.32</v>
      </c>
    </row>
    <row r="5548" spans="32:34">
      <c r="AF5548" s="367">
        <f t="shared" si="86"/>
        <v>45352</v>
      </c>
      <c r="AG5548" s="372">
        <v>45358</v>
      </c>
      <c r="AH5548">
        <v>3932.55</v>
      </c>
    </row>
    <row r="5549" spans="32:34">
      <c r="AF5549" s="367">
        <f t="shared" si="86"/>
        <v>45352</v>
      </c>
      <c r="AG5549" s="372">
        <v>45359</v>
      </c>
      <c r="AH5549">
        <v>3920.79</v>
      </c>
    </row>
    <row r="5550" spans="32:34">
      <c r="AF5550" s="367">
        <f t="shared" si="86"/>
        <v>45352</v>
      </c>
      <c r="AG5550" s="372">
        <v>45360</v>
      </c>
      <c r="AH5550">
        <v>3905.45</v>
      </c>
    </row>
    <row r="5551" spans="32:34">
      <c r="AF5551" s="367">
        <f t="shared" si="86"/>
        <v>45352</v>
      </c>
      <c r="AG5551" s="372">
        <v>45361</v>
      </c>
      <c r="AH5551">
        <v>3905.45</v>
      </c>
    </row>
    <row r="5552" spans="32:34">
      <c r="AF5552" s="367">
        <f t="shared" si="86"/>
        <v>45352</v>
      </c>
      <c r="AG5552" s="372">
        <v>45362</v>
      </c>
      <c r="AH5552">
        <v>3905.45</v>
      </c>
    </row>
    <row r="5553" spans="32:34">
      <c r="AF5553" s="367">
        <f t="shared" si="86"/>
        <v>45352</v>
      </c>
      <c r="AG5553" s="372">
        <v>45363</v>
      </c>
      <c r="AH5553">
        <v>3907.81</v>
      </c>
    </row>
    <row r="5554" spans="32:34">
      <c r="AF5554" s="367">
        <f t="shared" si="86"/>
        <v>45352</v>
      </c>
      <c r="AG5554" s="372">
        <v>45364</v>
      </c>
      <c r="AH5554">
        <v>3919.86</v>
      </c>
    </row>
    <row r="5555" spans="32:34">
      <c r="AF5555" s="367">
        <f t="shared" si="86"/>
        <v>45352</v>
      </c>
      <c r="AG5555" s="372">
        <v>45365</v>
      </c>
      <c r="AH5555">
        <v>3908.02</v>
      </c>
    </row>
    <row r="5556" spans="32:34">
      <c r="AF5556" s="367">
        <f t="shared" si="86"/>
        <v>45352</v>
      </c>
      <c r="AG5556" s="372">
        <v>45366</v>
      </c>
      <c r="AH5556">
        <v>3899.39</v>
      </c>
    </row>
    <row r="5557" spans="32:34">
      <c r="AF5557" s="367">
        <f t="shared" si="86"/>
        <v>45352</v>
      </c>
      <c r="AG5557" s="372">
        <v>45367</v>
      </c>
      <c r="AH5557">
        <v>3884.64</v>
      </c>
    </row>
    <row r="5558" spans="32:34">
      <c r="AF5558" s="367">
        <f t="shared" si="86"/>
        <v>45352</v>
      </c>
      <c r="AG5558" s="372">
        <v>45368</v>
      </c>
      <c r="AH5558">
        <v>3884.64</v>
      </c>
    </row>
    <row r="5559" spans="32:34">
      <c r="AF5559" s="367">
        <f t="shared" si="86"/>
        <v>45352</v>
      </c>
      <c r="AG5559" s="372">
        <v>45369</v>
      </c>
      <c r="AH5559">
        <v>3884.64</v>
      </c>
    </row>
    <row r="5560" spans="32:34">
      <c r="AF5560" s="367">
        <f t="shared" si="86"/>
        <v>45352</v>
      </c>
      <c r="AG5560" s="372">
        <v>45370</v>
      </c>
      <c r="AH5560">
        <v>3880.59</v>
      </c>
    </row>
    <row r="5561" spans="32:34">
      <c r="AF5561" s="367">
        <f t="shared" si="86"/>
        <v>45352</v>
      </c>
      <c r="AG5561" s="372">
        <v>45371</v>
      </c>
      <c r="AH5561">
        <v>3894.37</v>
      </c>
    </row>
    <row r="5562" spans="32:34">
      <c r="AF5562" s="367">
        <f t="shared" si="86"/>
        <v>45352</v>
      </c>
      <c r="AG5562" s="372">
        <v>45372</v>
      </c>
      <c r="AH5562">
        <v>3886.94</v>
      </c>
    </row>
    <row r="5563" spans="32:34">
      <c r="AF5563" s="367">
        <f t="shared" si="86"/>
        <v>45352</v>
      </c>
      <c r="AG5563" s="372">
        <v>45373</v>
      </c>
      <c r="AH5563">
        <v>3888.02</v>
      </c>
    </row>
    <row r="5564" spans="32:34">
      <c r="AF5564" s="367">
        <f t="shared" si="86"/>
        <v>45352</v>
      </c>
      <c r="AG5564" s="372">
        <v>45374</v>
      </c>
      <c r="AH5564">
        <v>3901.51</v>
      </c>
    </row>
    <row r="5565" spans="32:34">
      <c r="AF5565" s="367">
        <f t="shared" si="86"/>
        <v>45352</v>
      </c>
      <c r="AG5565" s="372">
        <v>45375</v>
      </c>
      <c r="AH5565">
        <v>3901.51</v>
      </c>
    </row>
    <row r="5566" spans="32:34">
      <c r="AF5566" s="367">
        <f t="shared" si="86"/>
        <v>45352</v>
      </c>
      <c r="AG5566" s="372">
        <v>45376</v>
      </c>
      <c r="AH5566">
        <v>3901.51</v>
      </c>
    </row>
    <row r="5567" spans="32:34">
      <c r="AF5567" s="367">
        <f t="shared" si="86"/>
        <v>45352</v>
      </c>
      <c r="AG5567" s="372">
        <v>45377</v>
      </c>
      <c r="AH5567">
        <v>3901.51</v>
      </c>
    </row>
    <row r="5568" spans="32:34">
      <c r="AF5568" s="367">
        <f t="shared" si="86"/>
        <v>45352</v>
      </c>
      <c r="AG5568" s="372">
        <v>45378</v>
      </c>
      <c r="AH5568">
        <v>3865.97</v>
      </c>
    </row>
    <row r="5569" spans="32:34">
      <c r="AF5569" s="367">
        <f t="shared" si="86"/>
        <v>45352</v>
      </c>
      <c r="AG5569" s="372">
        <v>45379</v>
      </c>
      <c r="AH5569">
        <v>3842.3</v>
      </c>
    </row>
    <row r="5570" spans="32:34">
      <c r="AF5570" s="367">
        <f t="shared" si="86"/>
        <v>45352</v>
      </c>
      <c r="AG5570" s="372">
        <v>45380</v>
      </c>
      <c r="AH5570">
        <v>3842.3</v>
      </c>
    </row>
    <row r="5571" spans="32:34">
      <c r="AF5571" s="367">
        <f t="shared" ref="AF5571:AF5634" si="87">+DATE(YEAR(AG5571),MONTH(AG5571),1)</f>
        <v>45352</v>
      </c>
      <c r="AG5571" s="372">
        <v>45381</v>
      </c>
      <c r="AH5571">
        <v>3842.3</v>
      </c>
    </row>
    <row r="5572" spans="32:34">
      <c r="AF5572" s="367">
        <f t="shared" si="87"/>
        <v>45352</v>
      </c>
      <c r="AG5572" s="372">
        <v>45382</v>
      </c>
      <c r="AH5572">
        <v>3842.3</v>
      </c>
    </row>
    <row r="5573" spans="32:34">
      <c r="AF5573" s="367">
        <f t="shared" si="87"/>
        <v>45383</v>
      </c>
      <c r="AG5573" s="372">
        <v>45383</v>
      </c>
      <c r="AH5573">
        <v>3842.3</v>
      </c>
    </row>
    <row r="5574" spans="32:34">
      <c r="AF5574" s="367">
        <f t="shared" si="87"/>
        <v>45383</v>
      </c>
      <c r="AG5574" s="372">
        <v>45384</v>
      </c>
      <c r="AH5574">
        <v>3863.05</v>
      </c>
    </row>
    <row r="5575" spans="32:34">
      <c r="AF5575" s="367">
        <f t="shared" si="87"/>
        <v>45383</v>
      </c>
      <c r="AG5575" s="372">
        <v>45385</v>
      </c>
      <c r="AH5575">
        <v>3845.22</v>
      </c>
    </row>
    <row r="5576" spans="32:34">
      <c r="AF5576" s="367">
        <f t="shared" si="87"/>
        <v>45383</v>
      </c>
      <c r="AG5576" s="372">
        <v>45386</v>
      </c>
      <c r="AH5576">
        <v>3812.13</v>
      </c>
    </row>
    <row r="5577" spans="32:34">
      <c r="AF5577" s="367">
        <f t="shared" si="87"/>
        <v>45383</v>
      </c>
      <c r="AG5577" s="372">
        <v>45387</v>
      </c>
      <c r="AH5577">
        <v>3775.37</v>
      </c>
    </row>
    <row r="5578" spans="32:34">
      <c r="AF5578" s="367">
        <f t="shared" si="87"/>
        <v>45383</v>
      </c>
      <c r="AG5578" s="372">
        <v>45388</v>
      </c>
      <c r="AH5578">
        <v>3764.23</v>
      </c>
    </row>
    <row r="5579" spans="32:34">
      <c r="AF5579" s="367">
        <f t="shared" si="87"/>
        <v>45383</v>
      </c>
      <c r="AG5579" s="372">
        <v>45389</v>
      </c>
      <c r="AH5579">
        <v>3764.23</v>
      </c>
    </row>
    <row r="5580" spans="32:34">
      <c r="AF5580" s="367">
        <f t="shared" si="87"/>
        <v>45383</v>
      </c>
      <c r="AG5580" s="372">
        <v>45390</v>
      </c>
      <c r="AH5580">
        <v>3764.23</v>
      </c>
    </row>
    <row r="5581" spans="32:34">
      <c r="AF5581" s="367">
        <f t="shared" si="87"/>
        <v>45383</v>
      </c>
      <c r="AG5581" s="372">
        <v>45391</v>
      </c>
      <c r="AH5581">
        <v>3768.8</v>
      </c>
    </row>
    <row r="5582" spans="32:34">
      <c r="AF5582" s="367">
        <f t="shared" si="87"/>
        <v>45383</v>
      </c>
      <c r="AG5582" s="372">
        <v>45392</v>
      </c>
      <c r="AH5582">
        <v>3763.43</v>
      </c>
    </row>
    <row r="5583" spans="32:34">
      <c r="AF5583" s="367">
        <f t="shared" si="87"/>
        <v>45383</v>
      </c>
      <c r="AG5583" s="372">
        <v>45393</v>
      </c>
      <c r="AH5583">
        <v>3815.44</v>
      </c>
    </row>
    <row r="5584" spans="32:34">
      <c r="AF5584" s="367">
        <f t="shared" si="87"/>
        <v>45383</v>
      </c>
      <c r="AG5584" s="372">
        <v>45394</v>
      </c>
      <c r="AH5584">
        <v>3820.1</v>
      </c>
    </row>
    <row r="5585" spans="32:34">
      <c r="AF5585" s="367">
        <f t="shared" si="87"/>
        <v>45383</v>
      </c>
      <c r="AG5585" s="372">
        <v>45395</v>
      </c>
      <c r="AH5585">
        <v>3864.97</v>
      </c>
    </row>
    <row r="5586" spans="32:34">
      <c r="AF5586" s="367">
        <f t="shared" si="87"/>
        <v>45383</v>
      </c>
      <c r="AG5586" s="372">
        <v>45396</v>
      </c>
      <c r="AH5586">
        <v>3864.97</v>
      </c>
    </row>
    <row r="5587" spans="32:34">
      <c r="AF5587" s="367">
        <f t="shared" si="87"/>
        <v>45383</v>
      </c>
      <c r="AG5587" s="372">
        <v>45397</v>
      </c>
      <c r="AH5587">
        <v>3864.97</v>
      </c>
    </row>
    <row r="5588" spans="32:34">
      <c r="AF5588" s="367">
        <f t="shared" si="87"/>
        <v>45383</v>
      </c>
      <c r="AG5588" s="372">
        <v>45398</v>
      </c>
      <c r="AH5588">
        <v>3889.58</v>
      </c>
    </row>
    <row r="5589" spans="32:34">
      <c r="AF5589" s="367">
        <f t="shared" si="87"/>
        <v>45383</v>
      </c>
      <c r="AG5589" s="372">
        <v>45399</v>
      </c>
      <c r="AH5589">
        <v>3938.11</v>
      </c>
    </row>
    <row r="5590" spans="32:34">
      <c r="AF5590" s="367">
        <f t="shared" si="87"/>
        <v>45383</v>
      </c>
      <c r="AG5590" s="372">
        <v>45400</v>
      </c>
      <c r="AH5590">
        <v>3901.94</v>
      </c>
    </row>
    <row r="5591" spans="32:34">
      <c r="AF5591" s="367">
        <f t="shared" si="87"/>
        <v>45383</v>
      </c>
      <c r="AG5591" s="372">
        <v>45401</v>
      </c>
      <c r="AH5591">
        <v>3918.23</v>
      </c>
    </row>
    <row r="5592" spans="32:34">
      <c r="AF5592" s="367">
        <f t="shared" si="87"/>
        <v>45383</v>
      </c>
      <c r="AG5592" s="372">
        <v>45402</v>
      </c>
      <c r="AH5592">
        <v>3937.13</v>
      </c>
    </row>
    <row r="5593" spans="32:34">
      <c r="AF5593" s="367">
        <f t="shared" si="87"/>
        <v>45383</v>
      </c>
      <c r="AG5593" s="372">
        <v>45403</v>
      </c>
      <c r="AH5593">
        <v>3937.13</v>
      </c>
    </row>
    <row r="5594" spans="32:34">
      <c r="AF5594" s="367">
        <f t="shared" si="87"/>
        <v>45383</v>
      </c>
      <c r="AG5594" s="372">
        <v>45404</v>
      </c>
      <c r="AH5594">
        <v>3937.13</v>
      </c>
    </row>
    <row r="5595" spans="32:34">
      <c r="AF5595" s="367">
        <f t="shared" si="87"/>
        <v>45383</v>
      </c>
      <c r="AG5595" s="372">
        <v>45405</v>
      </c>
      <c r="AH5595">
        <v>3924.82</v>
      </c>
    </row>
    <row r="5596" spans="32:34">
      <c r="AF5596" s="367">
        <f t="shared" si="87"/>
        <v>45383</v>
      </c>
      <c r="AG5596" s="372">
        <v>45406</v>
      </c>
      <c r="AH5596">
        <v>3910.01</v>
      </c>
    </row>
    <row r="5597" spans="32:34">
      <c r="AF5597" s="367">
        <f t="shared" si="87"/>
        <v>45383</v>
      </c>
      <c r="AG5597" s="372">
        <v>45407</v>
      </c>
      <c r="AH5597">
        <v>3935.65</v>
      </c>
    </row>
    <row r="5598" spans="32:34">
      <c r="AF5598" s="367">
        <f t="shared" si="87"/>
        <v>45383</v>
      </c>
      <c r="AG5598" s="372">
        <v>45408</v>
      </c>
      <c r="AH5598">
        <v>3964.59</v>
      </c>
    </row>
    <row r="5599" spans="32:34">
      <c r="AF5599" s="367">
        <f t="shared" si="87"/>
        <v>45383</v>
      </c>
      <c r="AG5599" s="372">
        <v>45409</v>
      </c>
      <c r="AH5599">
        <v>3926.02</v>
      </c>
    </row>
    <row r="5600" spans="32:34">
      <c r="AF5600" s="367">
        <f t="shared" si="87"/>
        <v>45383</v>
      </c>
      <c r="AG5600" s="372">
        <v>45410</v>
      </c>
      <c r="AH5600">
        <v>3926.02</v>
      </c>
    </row>
    <row r="5601" spans="32:34">
      <c r="AF5601" s="367">
        <f t="shared" si="87"/>
        <v>45383</v>
      </c>
      <c r="AG5601" s="372">
        <v>45411</v>
      </c>
      <c r="AH5601">
        <v>3926.02</v>
      </c>
    </row>
    <row r="5602" spans="32:34">
      <c r="AF5602" s="367">
        <f t="shared" si="87"/>
        <v>45383</v>
      </c>
      <c r="AG5602" s="372">
        <v>45412</v>
      </c>
      <c r="AH5602">
        <v>3873.44</v>
      </c>
    </row>
    <row r="5603" spans="32:34">
      <c r="AF5603" s="367">
        <f t="shared" si="87"/>
        <v>45413</v>
      </c>
      <c r="AG5603" s="372">
        <v>45413</v>
      </c>
      <c r="AH5603">
        <v>3899.07</v>
      </c>
    </row>
    <row r="5604" spans="32:34">
      <c r="AF5604" s="367">
        <f t="shared" si="87"/>
        <v>45413</v>
      </c>
      <c r="AG5604" s="372">
        <v>45414</v>
      </c>
      <c r="AH5604">
        <v>3899.07</v>
      </c>
    </row>
    <row r="5605" spans="32:34">
      <c r="AF5605" s="367">
        <f t="shared" si="87"/>
        <v>45413</v>
      </c>
      <c r="AG5605" s="372">
        <v>45415</v>
      </c>
      <c r="AH5605">
        <v>3898.62</v>
      </c>
    </row>
    <row r="5606" spans="32:34">
      <c r="AF5606" s="367">
        <f t="shared" si="87"/>
        <v>45413</v>
      </c>
      <c r="AG5606" s="372">
        <v>45416</v>
      </c>
      <c r="AH5606">
        <v>3895.41</v>
      </c>
    </row>
    <row r="5607" spans="32:34">
      <c r="AF5607" s="367">
        <f t="shared" si="87"/>
        <v>45413</v>
      </c>
      <c r="AG5607" s="372">
        <v>45417</v>
      </c>
      <c r="AH5607">
        <v>3895.41</v>
      </c>
    </row>
    <row r="5608" spans="32:34">
      <c r="AF5608" s="367">
        <f t="shared" si="87"/>
        <v>45413</v>
      </c>
      <c r="AG5608" s="372">
        <v>45418</v>
      </c>
      <c r="AH5608">
        <v>3895.41</v>
      </c>
    </row>
    <row r="5609" spans="32:34">
      <c r="AF5609" s="367">
        <f t="shared" si="87"/>
        <v>45413</v>
      </c>
      <c r="AG5609" s="372">
        <v>45419</v>
      </c>
      <c r="AH5609">
        <v>3894.23</v>
      </c>
    </row>
    <row r="5610" spans="32:34">
      <c r="AF5610" s="367">
        <f t="shared" si="87"/>
        <v>45413</v>
      </c>
      <c r="AG5610" s="372">
        <v>45420</v>
      </c>
      <c r="AH5610">
        <v>3884.84</v>
      </c>
    </row>
    <row r="5611" spans="32:34">
      <c r="AF5611" s="367">
        <f t="shared" si="87"/>
        <v>45413</v>
      </c>
      <c r="AG5611" s="372">
        <v>45421</v>
      </c>
      <c r="AH5611">
        <v>3902.63</v>
      </c>
    </row>
    <row r="5612" spans="32:34">
      <c r="AF5612" s="367">
        <f t="shared" si="87"/>
        <v>45413</v>
      </c>
      <c r="AG5612" s="372">
        <v>45422</v>
      </c>
      <c r="AH5612">
        <v>3900.38</v>
      </c>
    </row>
    <row r="5613" spans="32:34">
      <c r="AF5613" s="367">
        <f t="shared" si="87"/>
        <v>45413</v>
      </c>
      <c r="AG5613" s="372">
        <v>45423</v>
      </c>
      <c r="AH5613">
        <v>3888.21</v>
      </c>
    </row>
    <row r="5614" spans="32:34">
      <c r="AF5614" s="367">
        <f t="shared" si="87"/>
        <v>45413</v>
      </c>
      <c r="AG5614" s="372">
        <v>45424</v>
      </c>
      <c r="AH5614">
        <v>3888.21</v>
      </c>
    </row>
    <row r="5615" spans="32:34">
      <c r="AF5615" s="367">
        <f t="shared" si="87"/>
        <v>45413</v>
      </c>
      <c r="AG5615" s="372">
        <v>45425</v>
      </c>
      <c r="AH5615">
        <v>3888.21</v>
      </c>
    </row>
    <row r="5616" spans="32:34">
      <c r="AF5616" s="367">
        <f t="shared" si="87"/>
        <v>45413</v>
      </c>
      <c r="AG5616" s="372">
        <v>45426</v>
      </c>
      <c r="AH5616">
        <v>3888.21</v>
      </c>
    </row>
    <row r="5617" spans="32:34">
      <c r="AF5617" s="367">
        <f t="shared" si="87"/>
        <v>45413</v>
      </c>
      <c r="AG5617" s="372">
        <v>45427</v>
      </c>
      <c r="AH5617">
        <v>3861.82</v>
      </c>
    </row>
    <row r="5618" spans="32:34">
      <c r="AF5618" s="367">
        <f t="shared" si="87"/>
        <v>45413</v>
      </c>
      <c r="AG5618" s="372">
        <v>45428</v>
      </c>
      <c r="AH5618">
        <v>3825.42</v>
      </c>
    </row>
    <row r="5619" spans="32:34">
      <c r="AF5619" s="367">
        <f t="shared" si="87"/>
        <v>45413</v>
      </c>
      <c r="AG5619" s="372">
        <v>45429</v>
      </c>
      <c r="AH5619">
        <v>3828.98</v>
      </c>
    </row>
    <row r="5620" spans="32:34">
      <c r="AF5620" s="367">
        <f t="shared" si="87"/>
        <v>45413</v>
      </c>
      <c r="AG5620" s="372">
        <v>45430</v>
      </c>
      <c r="AH5620">
        <v>3832.26</v>
      </c>
    </row>
    <row r="5621" spans="32:34">
      <c r="AF5621" s="367">
        <f t="shared" si="87"/>
        <v>45413</v>
      </c>
      <c r="AG5621" s="372">
        <v>45431</v>
      </c>
      <c r="AH5621">
        <v>3832.26</v>
      </c>
    </row>
    <row r="5622" spans="32:34">
      <c r="AF5622" s="367">
        <f t="shared" si="87"/>
        <v>45413</v>
      </c>
      <c r="AG5622" s="372">
        <v>45432</v>
      </c>
      <c r="AH5622">
        <v>3832.26</v>
      </c>
    </row>
    <row r="5623" spans="32:34">
      <c r="AF5623" s="367">
        <f t="shared" si="87"/>
        <v>45413</v>
      </c>
      <c r="AG5623" s="372">
        <v>45433</v>
      </c>
      <c r="AH5623">
        <v>3822.39</v>
      </c>
    </row>
    <row r="5624" spans="32:34">
      <c r="AF5624" s="367">
        <f t="shared" si="87"/>
        <v>45413</v>
      </c>
      <c r="AG5624" s="372">
        <v>45434</v>
      </c>
      <c r="AH5624">
        <v>3814.94</v>
      </c>
    </row>
    <row r="5625" spans="32:34">
      <c r="AF5625" s="367">
        <f t="shared" si="87"/>
        <v>45413</v>
      </c>
      <c r="AG5625" s="372">
        <v>45435</v>
      </c>
      <c r="AH5625">
        <v>3829.59</v>
      </c>
    </row>
    <row r="5626" spans="32:34">
      <c r="AF5626" s="367">
        <f t="shared" si="87"/>
        <v>45413</v>
      </c>
      <c r="AG5626" s="372">
        <v>45436</v>
      </c>
      <c r="AH5626">
        <v>3837.58</v>
      </c>
    </row>
    <row r="5627" spans="32:34">
      <c r="AF5627" s="367">
        <f t="shared" si="87"/>
        <v>45413</v>
      </c>
      <c r="AG5627" s="372">
        <v>45437</v>
      </c>
      <c r="AH5627">
        <v>3878.07</v>
      </c>
    </row>
    <row r="5628" spans="32:34">
      <c r="AF5628" s="367">
        <f t="shared" si="87"/>
        <v>45413</v>
      </c>
      <c r="AG5628" s="372">
        <v>45438</v>
      </c>
      <c r="AH5628">
        <v>3878.07</v>
      </c>
    </row>
    <row r="5629" spans="32:34">
      <c r="AF5629" s="367">
        <f t="shared" si="87"/>
        <v>45413</v>
      </c>
      <c r="AG5629" s="372">
        <v>45439</v>
      </c>
      <c r="AH5629">
        <v>3878.07</v>
      </c>
    </row>
    <row r="5630" spans="32:34">
      <c r="AF5630" s="367">
        <f t="shared" si="87"/>
        <v>45413</v>
      </c>
      <c r="AG5630" s="372">
        <v>45440</v>
      </c>
      <c r="AH5630">
        <v>3878.07</v>
      </c>
    </row>
    <row r="5631" spans="32:34">
      <c r="AF5631" s="367">
        <f t="shared" si="87"/>
        <v>45413</v>
      </c>
      <c r="AG5631" s="372">
        <v>45441</v>
      </c>
      <c r="AH5631">
        <v>3853.09</v>
      </c>
    </row>
    <row r="5632" spans="32:34">
      <c r="AF5632" s="367">
        <f t="shared" si="87"/>
        <v>45413</v>
      </c>
      <c r="AG5632" s="372">
        <v>45442</v>
      </c>
      <c r="AH5632">
        <v>3867.02</v>
      </c>
    </row>
    <row r="5633" spans="32:34">
      <c r="AF5633" s="367">
        <f t="shared" si="87"/>
        <v>45413</v>
      </c>
      <c r="AG5633" s="372">
        <v>45443</v>
      </c>
      <c r="AH5633">
        <v>3874.32</v>
      </c>
    </row>
    <row r="5634" spans="32:34">
      <c r="AF5634" s="367">
        <f t="shared" si="87"/>
        <v>45444</v>
      </c>
      <c r="AG5634" s="372">
        <v>45444</v>
      </c>
      <c r="AH5634">
        <v>3860.92</v>
      </c>
    </row>
    <row r="5635" spans="32:34">
      <c r="AF5635" s="367">
        <f t="shared" ref="AF5635:AF5654" si="88">+DATE(YEAR(AG5635),MONTH(AG5635),1)</f>
        <v>45444</v>
      </c>
      <c r="AG5635" s="372">
        <v>45445</v>
      </c>
      <c r="AH5635">
        <v>3860.92</v>
      </c>
    </row>
    <row r="5636" spans="32:34">
      <c r="AF5636" s="367">
        <f t="shared" si="88"/>
        <v>45444</v>
      </c>
      <c r="AG5636" s="372">
        <v>45446</v>
      </c>
      <c r="AH5636">
        <v>3860.92</v>
      </c>
    </row>
    <row r="5637" spans="32:34">
      <c r="AF5637" s="367">
        <f t="shared" si="88"/>
        <v>45444</v>
      </c>
      <c r="AG5637" s="372">
        <v>45447</v>
      </c>
      <c r="AH5637">
        <v>3860.92</v>
      </c>
    </row>
    <row r="5638" spans="32:34">
      <c r="AF5638" s="367">
        <f t="shared" si="88"/>
        <v>45444</v>
      </c>
      <c r="AG5638" s="372">
        <v>45448</v>
      </c>
      <c r="AH5638">
        <v>3909.65</v>
      </c>
    </row>
    <row r="5639" spans="32:34">
      <c r="AF5639" s="367">
        <f t="shared" si="88"/>
        <v>45444</v>
      </c>
      <c r="AG5639" s="372">
        <v>45449</v>
      </c>
      <c r="AH5639">
        <v>3927.91</v>
      </c>
    </row>
    <row r="5640" spans="32:34">
      <c r="AF5640" s="367">
        <f t="shared" si="88"/>
        <v>45444</v>
      </c>
      <c r="AG5640" s="372">
        <v>45450</v>
      </c>
      <c r="AH5640">
        <v>3938.53</v>
      </c>
    </row>
    <row r="5641" spans="32:34">
      <c r="AF5641" s="367">
        <f t="shared" si="88"/>
        <v>45444</v>
      </c>
      <c r="AG5641" s="372">
        <v>45451</v>
      </c>
      <c r="AH5641">
        <v>3944.14</v>
      </c>
    </row>
    <row r="5642" spans="32:34">
      <c r="AF5642" s="367">
        <f t="shared" si="88"/>
        <v>45444</v>
      </c>
      <c r="AG5642" s="372">
        <v>45452</v>
      </c>
      <c r="AH5642">
        <v>3944.14</v>
      </c>
    </row>
    <row r="5643" spans="32:34">
      <c r="AF5643" s="367">
        <f t="shared" si="88"/>
        <v>45444</v>
      </c>
      <c r="AG5643" s="372">
        <v>45453</v>
      </c>
      <c r="AH5643">
        <v>3944.14</v>
      </c>
    </row>
    <row r="5644" spans="32:34">
      <c r="AF5644" s="367">
        <f t="shared" si="88"/>
        <v>45444</v>
      </c>
      <c r="AG5644" s="372">
        <v>45454</v>
      </c>
      <c r="AH5644">
        <v>3944.14</v>
      </c>
    </row>
    <row r="5645" spans="32:34">
      <c r="AF5645" s="367">
        <f t="shared" si="88"/>
        <v>45444</v>
      </c>
      <c r="AG5645" s="372">
        <v>45455</v>
      </c>
      <c r="AH5645">
        <v>3960.83</v>
      </c>
    </row>
    <row r="5646" spans="32:34">
      <c r="AF5646" s="367">
        <f t="shared" si="88"/>
        <v>45444</v>
      </c>
      <c r="AG5646" s="372">
        <v>45456</v>
      </c>
      <c r="AH5646">
        <v>4023.26</v>
      </c>
    </row>
    <row r="5647" spans="32:34">
      <c r="AF5647" s="367">
        <f t="shared" si="88"/>
        <v>45444</v>
      </c>
      <c r="AG5647" s="372">
        <v>45457</v>
      </c>
      <c r="AH5647">
        <v>4107.5200000000004</v>
      </c>
    </row>
    <row r="5648" spans="32:34">
      <c r="AF5648" s="367">
        <f t="shared" si="88"/>
        <v>45444</v>
      </c>
      <c r="AG5648" s="372">
        <v>45458</v>
      </c>
      <c r="AH5648">
        <v>4151.55</v>
      </c>
    </row>
    <row r="5649" spans="32:34">
      <c r="AF5649" s="367">
        <f t="shared" si="88"/>
        <v>45444</v>
      </c>
      <c r="AG5649" s="372">
        <v>45459</v>
      </c>
      <c r="AH5649">
        <v>4151.55</v>
      </c>
    </row>
    <row r="5650" spans="32:34">
      <c r="AF5650" s="367">
        <f t="shared" si="88"/>
        <v>45444</v>
      </c>
      <c r="AG5650" s="372">
        <v>45460</v>
      </c>
      <c r="AH5650">
        <v>4151.55</v>
      </c>
    </row>
    <row r="5651" spans="32:34">
      <c r="AF5651" s="367">
        <f t="shared" si="88"/>
        <v>45444</v>
      </c>
      <c r="AG5651" s="372">
        <v>45461</v>
      </c>
      <c r="AH5651">
        <v>4144.63</v>
      </c>
    </row>
    <row r="5652" spans="32:34">
      <c r="AF5652" s="367">
        <f t="shared" si="88"/>
        <v>45444</v>
      </c>
      <c r="AG5652" s="372">
        <v>45462</v>
      </c>
      <c r="AH5652">
        <v>4101.87</v>
      </c>
    </row>
    <row r="5653" spans="32:34">
      <c r="AF5653" s="367">
        <f t="shared" si="88"/>
        <v>45444</v>
      </c>
      <c r="AG5653" s="372">
        <v>45463</v>
      </c>
      <c r="AH5653">
        <v>4101.87</v>
      </c>
    </row>
    <row r="5654" spans="32:34">
      <c r="AF5654" s="367">
        <f t="shared" si="88"/>
        <v>45444</v>
      </c>
      <c r="AG5654" s="372">
        <v>45464</v>
      </c>
      <c r="AH5654">
        <v>4175.96</v>
      </c>
    </row>
    <row r="5655" spans="32:34">
      <c r="AF5655" s="632">
        <f t="shared" ref="AF5655:AF5718" si="89">+DATE(YEAR(AG5655),MONTH(AG5655),1)</f>
        <v>45444</v>
      </c>
      <c r="AG5655" s="372" t="s">
        <v>170</v>
      </c>
      <c r="AH5655">
        <v>4143.72</v>
      </c>
    </row>
    <row r="5656" spans="32:34">
      <c r="AF5656" s="632">
        <f t="shared" si="89"/>
        <v>45444</v>
      </c>
      <c r="AG5656" s="372" t="s">
        <v>171</v>
      </c>
      <c r="AH5656">
        <v>4143.72</v>
      </c>
    </row>
    <row r="5657" spans="32:34">
      <c r="AF5657" s="632">
        <f t="shared" si="89"/>
        <v>45444</v>
      </c>
      <c r="AG5657" s="372" t="s">
        <v>172</v>
      </c>
      <c r="AH5657">
        <v>4143.72</v>
      </c>
    </row>
    <row r="5658" spans="32:34">
      <c r="AF5658" s="632">
        <f t="shared" si="89"/>
        <v>45444</v>
      </c>
      <c r="AG5658" s="372" t="s">
        <v>173</v>
      </c>
      <c r="AH5658">
        <v>4104.38</v>
      </c>
    </row>
    <row r="5659" spans="32:34">
      <c r="AF5659" s="632">
        <f t="shared" si="89"/>
        <v>45444</v>
      </c>
      <c r="AG5659" s="372" t="s">
        <v>174</v>
      </c>
      <c r="AH5659">
        <v>4093.66</v>
      </c>
    </row>
    <row r="5660" spans="32:34">
      <c r="AF5660" s="632">
        <f t="shared" si="89"/>
        <v>45444</v>
      </c>
      <c r="AG5660" s="372" t="s">
        <v>175</v>
      </c>
      <c r="AH5660">
        <v>4133.6099999999997</v>
      </c>
    </row>
    <row r="5661" spans="32:34">
      <c r="AF5661" s="632">
        <f t="shared" si="89"/>
        <v>45444</v>
      </c>
      <c r="AG5661" s="372" t="s">
        <v>176</v>
      </c>
      <c r="AH5661">
        <v>4158.1000000000004</v>
      </c>
    </row>
    <row r="5662" spans="32:34">
      <c r="AF5662" s="632">
        <f t="shared" si="89"/>
        <v>45444</v>
      </c>
      <c r="AG5662" s="372" t="s">
        <v>177</v>
      </c>
      <c r="AH5662">
        <v>4148.04</v>
      </c>
    </row>
    <row r="5663" spans="32:34">
      <c r="AF5663" s="632">
        <f t="shared" si="89"/>
        <v>45444</v>
      </c>
      <c r="AG5663" s="372" t="s">
        <v>178</v>
      </c>
      <c r="AH5663">
        <v>4148.04</v>
      </c>
    </row>
    <row r="5664" spans="32:34">
      <c r="AF5664" s="632">
        <f t="shared" si="89"/>
        <v>45474</v>
      </c>
      <c r="AG5664" s="372" t="s">
        <v>179</v>
      </c>
      <c r="AH5664">
        <v>4148.04</v>
      </c>
    </row>
    <row r="5665" spans="32:34">
      <c r="AF5665" s="632">
        <f t="shared" si="89"/>
        <v>45474</v>
      </c>
      <c r="AG5665" s="372" t="s">
        <v>180</v>
      </c>
      <c r="AH5665">
        <v>4148.04</v>
      </c>
    </row>
    <row r="5666" spans="32:34">
      <c r="AF5666" s="632">
        <f t="shared" si="89"/>
        <v>45474</v>
      </c>
      <c r="AG5666" s="372" t="s">
        <v>181</v>
      </c>
      <c r="AH5666">
        <v>4130.03</v>
      </c>
    </row>
    <row r="5667" spans="32:34">
      <c r="AF5667" s="632">
        <f t="shared" si="89"/>
        <v>45474</v>
      </c>
      <c r="AG5667" s="372" t="s">
        <v>182</v>
      </c>
      <c r="AH5667">
        <v>4096.09</v>
      </c>
    </row>
    <row r="5668" spans="32:34">
      <c r="AF5668" s="632">
        <f t="shared" si="89"/>
        <v>45474</v>
      </c>
      <c r="AG5668" s="372" t="s">
        <v>183</v>
      </c>
      <c r="AH5668">
        <v>4096.09</v>
      </c>
    </row>
    <row r="5669" spans="32:34">
      <c r="AF5669" s="632">
        <f t="shared" si="89"/>
        <v>45474</v>
      </c>
      <c r="AG5669" s="372" t="s">
        <v>184</v>
      </c>
      <c r="AH5669">
        <v>4093.72</v>
      </c>
    </row>
    <row r="5670" spans="32:34">
      <c r="AF5670" s="632">
        <f t="shared" si="89"/>
        <v>45474</v>
      </c>
      <c r="AG5670" s="372" t="s">
        <v>185</v>
      </c>
      <c r="AH5670">
        <v>4093.72</v>
      </c>
    </row>
    <row r="5671" spans="32:34">
      <c r="AF5671" s="632">
        <f t="shared" si="89"/>
        <v>45474</v>
      </c>
      <c r="AG5671" s="372" t="s">
        <v>186</v>
      </c>
      <c r="AH5671">
        <v>4093.72</v>
      </c>
    </row>
    <row r="5672" spans="32:34">
      <c r="AF5672" s="632">
        <f t="shared" si="89"/>
        <v>45474</v>
      </c>
      <c r="AG5672" s="372" t="s">
        <v>187</v>
      </c>
      <c r="AH5672">
        <v>4052.99</v>
      </c>
    </row>
    <row r="5673" spans="32:34">
      <c r="AF5673" s="632">
        <f t="shared" si="89"/>
        <v>45474</v>
      </c>
      <c r="AG5673" s="372" t="s">
        <v>188</v>
      </c>
      <c r="AH5673">
        <v>4022.05</v>
      </c>
    </row>
    <row r="5674" spans="32:34">
      <c r="AF5674" s="632">
        <f t="shared" si="89"/>
        <v>45474</v>
      </c>
      <c r="AG5674" s="372" t="s">
        <v>189</v>
      </c>
      <c r="AH5674">
        <v>3979.91</v>
      </c>
    </row>
    <row r="5675" spans="32:34">
      <c r="AF5675" s="632">
        <f t="shared" si="89"/>
        <v>45474</v>
      </c>
      <c r="AG5675" s="372" t="s">
        <v>190</v>
      </c>
      <c r="AH5675">
        <v>3968.87</v>
      </c>
    </row>
    <row r="5676" spans="32:34">
      <c r="AF5676" s="632">
        <f t="shared" si="89"/>
        <v>45474</v>
      </c>
      <c r="AG5676" s="372" t="s">
        <v>191</v>
      </c>
      <c r="AH5676">
        <v>3944.97</v>
      </c>
    </row>
    <row r="5677" spans="32:34">
      <c r="AF5677" s="632">
        <f t="shared" si="89"/>
        <v>45474</v>
      </c>
      <c r="AG5677" s="372" t="s">
        <v>192</v>
      </c>
      <c r="AH5677">
        <v>3944.97</v>
      </c>
    </row>
    <row r="5678" spans="32:34">
      <c r="AF5678" s="632">
        <f t="shared" si="89"/>
        <v>45474</v>
      </c>
      <c r="AG5678" s="372" t="s">
        <v>193</v>
      </c>
      <c r="AH5678">
        <v>3944.97</v>
      </c>
    </row>
    <row r="5679" spans="32:34">
      <c r="AF5679" s="632">
        <f t="shared" si="89"/>
        <v>45474</v>
      </c>
      <c r="AG5679" s="372" t="s">
        <v>194</v>
      </c>
      <c r="AH5679">
        <v>3948.41</v>
      </c>
    </row>
    <row r="5680" spans="32:34">
      <c r="AF5680" s="632">
        <f t="shared" si="89"/>
        <v>45474</v>
      </c>
      <c r="AG5680" s="372" t="s">
        <v>195</v>
      </c>
      <c r="AH5680">
        <v>3977.63</v>
      </c>
    </row>
    <row r="5681" spans="32:34">
      <c r="AF5681" s="632">
        <f t="shared" si="89"/>
        <v>45474</v>
      </c>
      <c r="AG5681" s="372" t="s">
        <v>196</v>
      </c>
      <c r="AH5681">
        <v>4011.19</v>
      </c>
    </row>
    <row r="5682" spans="32:34">
      <c r="AF5682" s="632">
        <f t="shared" si="89"/>
        <v>45474</v>
      </c>
      <c r="AG5682" s="372" t="s">
        <v>197</v>
      </c>
      <c r="AH5682">
        <v>4036.73</v>
      </c>
    </row>
    <row r="5683" spans="32:34">
      <c r="AF5683" s="632">
        <f t="shared" si="89"/>
        <v>45474</v>
      </c>
      <c r="AG5683" s="372" t="s">
        <v>198</v>
      </c>
      <c r="AH5683">
        <v>4040.2</v>
      </c>
    </row>
    <row r="5684" spans="32:34">
      <c r="AF5684" s="632">
        <f t="shared" si="89"/>
        <v>45474</v>
      </c>
      <c r="AG5684" s="372" t="s">
        <v>199</v>
      </c>
      <c r="AH5684">
        <v>4040.2</v>
      </c>
    </row>
    <row r="5685" spans="32:34">
      <c r="AF5685" s="632">
        <f t="shared" si="89"/>
        <v>45474</v>
      </c>
      <c r="AG5685" s="372" t="s">
        <v>200</v>
      </c>
      <c r="AH5685">
        <v>4040.2</v>
      </c>
    </row>
    <row r="5686" spans="32:34">
      <c r="AF5686" s="632">
        <f t="shared" si="89"/>
        <v>45474</v>
      </c>
      <c r="AG5686" s="372" t="s">
        <v>201</v>
      </c>
      <c r="AH5686">
        <v>4006.01</v>
      </c>
    </row>
    <row r="5687" spans="32:34">
      <c r="AF5687" s="632">
        <f t="shared" si="89"/>
        <v>45474</v>
      </c>
      <c r="AG5687" s="372" t="s">
        <v>202</v>
      </c>
      <c r="AH5687">
        <v>4010.53</v>
      </c>
    </row>
    <row r="5688" spans="32:34">
      <c r="AF5688" s="632">
        <f t="shared" si="89"/>
        <v>45474</v>
      </c>
      <c r="AG5688" s="372" t="s">
        <v>203</v>
      </c>
      <c r="AH5688">
        <v>4047.66</v>
      </c>
    </row>
    <row r="5689" spans="32:34">
      <c r="AF5689" s="632">
        <f t="shared" si="89"/>
        <v>45474</v>
      </c>
      <c r="AG5689" s="372" t="s">
        <v>204</v>
      </c>
      <c r="AH5689">
        <v>4035</v>
      </c>
    </row>
    <row r="5690" spans="32:34">
      <c r="AF5690" s="632">
        <f t="shared" si="89"/>
        <v>45474</v>
      </c>
      <c r="AG5690" s="372" t="s">
        <v>205</v>
      </c>
      <c r="AH5690">
        <v>4014.56</v>
      </c>
    </row>
    <row r="5691" spans="32:34">
      <c r="AF5691" s="632">
        <f t="shared" si="89"/>
        <v>45474</v>
      </c>
      <c r="AG5691" s="372" t="s">
        <v>206</v>
      </c>
      <c r="AH5691">
        <v>4014.56</v>
      </c>
    </row>
    <row r="5692" spans="32:34">
      <c r="AF5692" s="632">
        <f t="shared" si="89"/>
        <v>45474</v>
      </c>
      <c r="AG5692" s="372" t="s">
        <v>207</v>
      </c>
      <c r="AH5692">
        <v>4014.56</v>
      </c>
    </row>
    <row r="5693" spans="32:34">
      <c r="AF5693" s="632">
        <f t="shared" si="89"/>
        <v>45474</v>
      </c>
      <c r="AG5693" s="372" t="s">
        <v>208</v>
      </c>
      <c r="AH5693">
        <v>4059.91</v>
      </c>
    </row>
    <row r="5694" spans="32:34">
      <c r="AF5694" s="632">
        <f t="shared" si="89"/>
        <v>45474</v>
      </c>
      <c r="AG5694" s="372" t="s">
        <v>209</v>
      </c>
      <c r="AH5694">
        <v>4089.05</v>
      </c>
    </row>
    <row r="5695" spans="32:34">
      <c r="AF5695" s="632">
        <f t="shared" si="89"/>
        <v>45505</v>
      </c>
      <c r="AG5695" s="372" t="s">
        <v>210</v>
      </c>
      <c r="AH5695">
        <v>4060.34</v>
      </c>
    </row>
    <row r="5696" spans="32:34">
      <c r="AF5696" s="632">
        <f t="shared" si="89"/>
        <v>45505</v>
      </c>
      <c r="AG5696" s="372" t="s">
        <v>211</v>
      </c>
      <c r="AH5696">
        <v>4057.14</v>
      </c>
    </row>
    <row r="5697" spans="32:34">
      <c r="AF5697" s="632">
        <f t="shared" si="89"/>
        <v>45505</v>
      </c>
      <c r="AG5697" s="372" t="s">
        <v>212</v>
      </c>
      <c r="AH5697">
        <v>4110.37</v>
      </c>
    </row>
    <row r="5698" spans="32:34">
      <c r="AF5698" s="632">
        <f t="shared" si="89"/>
        <v>45505</v>
      </c>
      <c r="AG5698" s="372" t="s">
        <v>213</v>
      </c>
      <c r="AH5698">
        <v>4110.37</v>
      </c>
    </row>
    <row r="5699" spans="32:34">
      <c r="AF5699" s="632">
        <f t="shared" si="89"/>
        <v>45505</v>
      </c>
      <c r="AG5699" s="372" t="s">
        <v>214</v>
      </c>
      <c r="AH5699">
        <v>4110.37</v>
      </c>
    </row>
    <row r="5700" spans="32:34">
      <c r="AF5700" s="632">
        <f t="shared" si="89"/>
        <v>45505</v>
      </c>
      <c r="AG5700" s="372" t="s">
        <v>215</v>
      </c>
      <c r="AH5700">
        <v>4184.3</v>
      </c>
    </row>
    <row r="5701" spans="32:34">
      <c r="AF5701" s="632">
        <f t="shared" si="89"/>
        <v>45505</v>
      </c>
      <c r="AG5701" s="372" t="s">
        <v>216</v>
      </c>
      <c r="AH5701">
        <v>4136.2700000000004</v>
      </c>
    </row>
    <row r="5702" spans="32:34">
      <c r="AF5702" s="632">
        <f t="shared" si="89"/>
        <v>45505</v>
      </c>
      <c r="AG5702" s="372" t="s">
        <v>217</v>
      </c>
      <c r="AH5702">
        <v>4136.2700000000004</v>
      </c>
    </row>
    <row r="5703" spans="32:34">
      <c r="AF5703" s="632">
        <f t="shared" si="89"/>
        <v>45505</v>
      </c>
      <c r="AG5703" s="372" t="s">
        <v>218</v>
      </c>
      <c r="AH5703">
        <v>4100.79</v>
      </c>
    </row>
    <row r="5704" spans="32:34">
      <c r="AF5704" s="632">
        <f t="shared" si="89"/>
        <v>45505</v>
      </c>
      <c r="AG5704" s="372" t="s">
        <v>219</v>
      </c>
      <c r="AH5704">
        <v>4064.51</v>
      </c>
    </row>
    <row r="5705" spans="32:34">
      <c r="AF5705" s="632">
        <f t="shared" si="89"/>
        <v>45505</v>
      </c>
      <c r="AG5705" s="372" t="s">
        <v>220</v>
      </c>
      <c r="AH5705">
        <v>4064.51</v>
      </c>
    </row>
    <row r="5706" spans="32:34">
      <c r="AF5706" s="632">
        <f t="shared" si="89"/>
        <v>45505</v>
      </c>
      <c r="AG5706" s="372" t="s">
        <v>221</v>
      </c>
      <c r="AH5706">
        <v>4064.51</v>
      </c>
    </row>
    <row r="5707" spans="32:34">
      <c r="AF5707" s="632">
        <f t="shared" si="89"/>
        <v>45505</v>
      </c>
      <c r="AG5707" s="372" t="s">
        <v>222</v>
      </c>
      <c r="AH5707">
        <v>4063.26</v>
      </c>
    </row>
    <row r="5708" spans="32:34">
      <c r="AF5708" s="632">
        <f t="shared" si="89"/>
        <v>45505</v>
      </c>
      <c r="AG5708" s="372" t="s">
        <v>223</v>
      </c>
      <c r="AH5708">
        <v>4038.87</v>
      </c>
    </row>
    <row r="5709" spans="32:34">
      <c r="AF5709" s="632">
        <f t="shared" si="89"/>
        <v>45505</v>
      </c>
      <c r="AG5709" s="372" t="s">
        <v>224</v>
      </c>
      <c r="AH5709">
        <v>4021.1</v>
      </c>
    </row>
    <row r="5710" spans="32:34">
      <c r="AF5710" s="632">
        <f t="shared" si="89"/>
        <v>45505</v>
      </c>
      <c r="AG5710" s="372" t="s">
        <v>225</v>
      </c>
      <c r="AH5710">
        <v>4014.18</v>
      </c>
    </row>
    <row r="5711" spans="32:34">
      <c r="AF5711" s="632">
        <f t="shared" si="89"/>
        <v>45505</v>
      </c>
      <c r="AG5711" s="372" t="s">
        <v>226</v>
      </c>
      <c r="AH5711">
        <v>4021.63</v>
      </c>
    </row>
    <row r="5712" spans="32:34">
      <c r="AF5712" s="632">
        <f t="shared" si="89"/>
        <v>45505</v>
      </c>
      <c r="AG5712" s="372" t="s">
        <v>227</v>
      </c>
      <c r="AH5712">
        <v>4021.63</v>
      </c>
    </row>
    <row r="5713" spans="32:34">
      <c r="AF5713" s="632">
        <f t="shared" si="89"/>
        <v>45505</v>
      </c>
      <c r="AG5713" s="372" t="s">
        <v>228</v>
      </c>
      <c r="AH5713">
        <v>4021.63</v>
      </c>
    </row>
    <row r="5714" spans="32:34">
      <c r="AF5714" s="632">
        <f t="shared" si="89"/>
        <v>45505</v>
      </c>
      <c r="AG5714" s="372" t="s">
        <v>229</v>
      </c>
      <c r="AH5714">
        <v>4021.63</v>
      </c>
    </row>
    <row r="5715" spans="32:34">
      <c r="AF5715" s="632">
        <f t="shared" si="89"/>
        <v>45505</v>
      </c>
      <c r="AG5715" s="372" t="s">
        <v>230</v>
      </c>
      <c r="AH5715">
        <v>4011.37</v>
      </c>
    </row>
    <row r="5716" spans="32:34">
      <c r="AF5716" s="632">
        <f t="shared" si="89"/>
        <v>45505</v>
      </c>
      <c r="AG5716" s="372" t="s">
        <v>231</v>
      </c>
      <c r="AH5716">
        <v>4013.98</v>
      </c>
    </row>
    <row r="5717" spans="32:34">
      <c r="AF5717" s="632">
        <f t="shared" si="89"/>
        <v>45505</v>
      </c>
      <c r="AG5717" s="372" t="s">
        <v>232</v>
      </c>
      <c r="AH5717">
        <v>4064.03</v>
      </c>
    </row>
    <row r="5718" spans="32:34">
      <c r="AF5718" s="632">
        <f t="shared" si="89"/>
        <v>45505</v>
      </c>
      <c r="AG5718" s="372" t="s">
        <v>233</v>
      </c>
      <c r="AH5718">
        <v>4030.52</v>
      </c>
    </row>
    <row r="5719" spans="32:34">
      <c r="AF5719" s="632">
        <f t="shared" ref="AF5719:AF5782" si="90">+DATE(YEAR(AG5719),MONTH(AG5719),1)</f>
        <v>45505</v>
      </c>
      <c r="AG5719" s="372" t="s">
        <v>234</v>
      </c>
      <c r="AH5719">
        <v>4030.52</v>
      </c>
    </row>
    <row r="5720" spans="32:34">
      <c r="AF5720" s="632">
        <f t="shared" si="90"/>
        <v>45505</v>
      </c>
      <c r="AG5720" s="372" t="s">
        <v>235</v>
      </c>
      <c r="AH5720">
        <v>4030.52</v>
      </c>
    </row>
    <row r="5721" spans="32:34">
      <c r="AF5721" s="632">
        <f t="shared" si="90"/>
        <v>45505</v>
      </c>
      <c r="AG5721" s="372" t="s">
        <v>236</v>
      </c>
      <c r="AH5721">
        <v>4023.92</v>
      </c>
    </row>
    <row r="5722" spans="32:34">
      <c r="AF5722" s="632">
        <f t="shared" si="90"/>
        <v>45505</v>
      </c>
      <c r="AG5722" s="372" t="s">
        <v>237</v>
      </c>
      <c r="AH5722">
        <v>4045.64</v>
      </c>
    </row>
    <row r="5723" spans="32:34">
      <c r="AF5723" s="632">
        <f t="shared" si="90"/>
        <v>45505</v>
      </c>
      <c r="AG5723" s="372" t="s">
        <v>238</v>
      </c>
      <c r="AH5723">
        <v>4065.34</v>
      </c>
    </row>
    <row r="5724" spans="32:34">
      <c r="AF5724" s="632">
        <f t="shared" si="90"/>
        <v>45505</v>
      </c>
      <c r="AG5724" s="372" t="s">
        <v>239</v>
      </c>
      <c r="AH5724">
        <v>4132.1099999999997</v>
      </c>
    </row>
    <row r="5725" spans="32:34">
      <c r="AF5725" s="632">
        <f t="shared" si="90"/>
        <v>45505</v>
      </c>
      <c r="AG5725" s="372" t="s">
        <v>240</v>
      </c>
      <c r="AH5725">
        <v>4160.3100000000004</v>
      </c>
    </row>
    <row r="5726" spans="32:34">
      <c r="AF5726" s="632">
        <f t="shared" si="90"/>
        <v>45536</v>
      </c>
      <c r="AG5726" s="372" t="s">
        <v>241</v>
      </c>
      <c r="AH5726">
        <v>4160.3100000000004</v>
      </c>
    </row>
    <row r="5727" spans="32:34">
      <c r="AF5727" s="632">
        <f t="shared" si="90"/>
        <v>45536</v>
      </c>
      <c r="AG5727" s="372" t="s">
        <v>242</v>
      </c>
      <c r="AH5727">
        <v>4160.3100000000004</v>
      </c>
    </row>
    <row r="5728" spans="32:34">
      <c r="AF5728" s="632">
        <f t="shared" si="90"/>
        <v>45536</v>
      </c>
      <c r="AG5728" s="372" t="s">
        <v>243</v>
      </c>
      <c r="AH5728">
        <v>4160.3100000000004</v>
      </c>
    </row>
    <row r="5729" spans="32:34">
      <c r="AF5729" s="632">
        <f t="shared" si="90"/>
        <v>45536</v>
      </c>
      <c r="AG5729" s="372" t="s">
        <v>244</v>
      </c>
      <c r="AH5729">
        <v>4185.8</v>
      </c>
    </row>
    <row r="5730" spans="32:34">
      <c r="AF5730" s="632">
        <f t="shared" si="90"/>
        <v>45536</v>
      </c>
      <c r="AG5730" s="372" t="s">
        <v>245</v>
      </c>
      <c r="AH5730">
        <v>4185.82</v>
      </c>
    </row>
    <row r="5731" spans="32:34">
      <c r="AF5731" s="632">
        <f t="shared" si="90"/>
        <v>45536</v>
      </c>
      <c r="AG5731" s="372" t="s">
        <v>246</v>
      </c>
      <c r="AH5731">
        <v>4172.5</v>
      </c>
    </row>
    <row r="5732" spans="32:34">
      <c r="AF5732" s="632">
        <f t="shared" si="90"/>
        <v>45536</v>
      </c>
      <c r="AG5732" s="372" t="s">
        <v>247</v>
      </c>
      <c r="AH5732">
        <v>4149.79</v>
      </c>
    </row>
    <row r="5733" spans="32:34">
      <c r="AF5733" s="632">
        <f t="shared" si="90"/>
        <v>45536</v>
      </c>
      <c r="AG5733" s="372" t="s">
        <v>248</v>
      </c>
      <c r="AH5733">
        <v>4149.79</v>
      </c>
    </row>
    <row r="5734" spans="32:34">
      <c r="AF5734" s="632">
        <f t="shared" si="90"/>
        <v>45536</v>
      </c>
      <c r="AG5734" s="372" t="s">
        <v>249</v>
      </c>
      <c r="AH5734">
        <v>4149.79</v>
      </c>
    </row>
    <row r="5735" spans="32:34">
      <c r="AF5735" s="632">
        <f t="shared" si="90"/>
        <v>45536</v>
      </c>
      <c r="AG5735" s="372" t="s">
        <v>250</v>
      </c>
      <c r="AH5735">
        <v>4220.68</v>
      </c>
    </row>
    <row r="5736" spans="32:34">
      <c r="AF5736" s="632">
        <f t="shared" si="90"/>
        <v>45536</v>
      </c>
      <c r="AG5736" s="372" t="s">
        <v>251</v>
      </c>
      <c r="AH5736">
        <v>4285.6099999999997</v>
      </c>
    </row>
    <row r="5737" spans="32:34">
      <c r="AF5737" s="632">
        <f t="shared" si="90"/>
        <v>45536</v>
      </c>
      <c r="AG5737" s="372" t="s">
        <v>252</v>
      </c>
      <c r="AH5737">
        <v>4278.28</v>
      </c>
    </row>
    <row r="5738" spans="32:34">
      <c r="AF5738" s="632">
        <f t="shared" si="90"/>
        <v>45536</v>
      </c>
      <c r="AG5738" s="372" t="s">
        <v>253</v>
      </c>
      <c r="AH5738">
        <v>4236.63</v>
      </c>
    </row>
    <row r="5739" spans="32:34">
      <c r="AF5739" s="632">
        <f t="shared" si="90"/>
        <v>45536</v>
      </c>
      <c r="AG5739" s="372" t="s">
        <v>254</v>
      </c>
      <c r="AH5739">
        <v>4172.13</v>
      </c>
    </row>
    <row r="5740" spans="32:34">
      <c r="AF5740" s="632">
        <f t="shared" si="90"/>
        <v>45536</v>
      </c>
      <c r="AG5740" s="372" t="s">
        <v>255</v>
      </c>
      <c r="AH5740">
        <v>4172.13</v>
      </c>
    </row>
    <row r="5741" spans="32:34">
      <c r="AF5741" s="632">
        <f t="shared" si="90"/>
        <v>45536</v>
      </c>
      <c r="AG5741" s="372" t="s">
        <v>256</v>
      </c>
      <c r="AH5741">
        <v>4172.13</v>
      </c>
    </row>
    <row r="5742" spans="32:34">
      <c r="AF5742" s="632">
        <f t="shared" si="90"/>
        <v>45536</v>
      </c>
      <c r="AG5742" s="372" t="s">
        <v>257</v>
      </c>
      <c r="AH5742">
        <v>4220.58</v>
      </c>
    </row>
    <row r="5743" spans="32:34">
      <c r="AF5743" s="632">
        <f t="shared" si="90"/>
        <v>45536</v>
      </c>
      <c r="AG5743" s="372" t="s">
        <v>258</v>
      </c>
      <c r="AH5743">
        <v>4239.33</v>
      </c>
    </row>
    <row r="5744" spans="32:34">
      <c r="AF5744" s="632">
        <f t="shared" si="90"/>
        <v>45536</v>
      </c>
      <c r="AG5744" s="372" t="s">
        <v>259</v>
      </c>
      <c r="AH5744">
        <v>4189.46</v>
      </c>
    </row>
    <row r="5745" spans="32:34">
      <c r="AF5745" s="632">
        <f t="shared" si="90"/>
        <v>45536</v>
      </c>
      <c r="AG5745" s="372" t="s">
        <v>260</v>
      </c>
      <c r="AH5745">
        <v>4175.1000000000004</v>
      </c>
    </row>
    <row r="5746" spans="32:34">
      <c r="AF5746" s="632">
        <f t="shared" si="90"/>
        <v>45536</v>
      </c>
      <c r="AG5746" s="372" t="s">
        <v>261</v>
      </c>
      <c r="AH5746">
        <v>4156.8900000000003</v>
      </c>
    </row>
    <row r="5747" spans="32:34">
      <c r="AF5747" s="632">
        <f t="shared" si="90"/>
        <v>45536</v>
      </c>
      <c r="AG5747" s="372" t="s">
        <v>262</v>
      </c>
      <c r="AH5747">
        <v>4156.8900000000003</v>
      </c>
    </row>
    <row r="5748" spans="32:34">
      <c r="AF5748" s="632">
        <f t="shared" si="90"/>
        <v>45536</v>
      </c>
      <c r="AG5748" s="372" t="s">
        <v>263</v>
      </c>
      <c r="AH5748">
        <v>4156.8900000000003</v>
      </c>
    </row>
    <row r="5749" spans="32:34">
      <c r="AF5749" s="632">
        <f t="shared" si="90"/>
        <v>45536</v>
      </c>
      <c r="AG5749" s="372" t="s">
        <v>264</v>
      </c>
      <c r="AH5749">
        <v>4155.3100000000004</v>
      </c>
    </row>
    <row r="5750" spans="32:34">
      <c r="AF5750" s="632">
        <f t="shared" si="90"/>
        <v>45536</v>
      </c>
      <c r="AG5750" s="372" t="s">
        <v>265</v>
      </c>
      <c r="AH5750">
        <v>4139.43</v>
      </c>
    </row>
    <row r="5751" spans="32:34">
      <c r="AF5751" s="632">
        <f t="shared" si="90"/>
        <v>45536</v>
      </c>
      <c r="AG5751" s="372" t="s">
        <v>266</v>
      </c>
      <c r="AH5751">
        <v>4192.74</v>
      </c>
    </row>
    <row r="5752" spans="32:34">
      <c r="AF5752" s="632">
        <f t="shared" si="90"/>
        <v>45536</v>
      </c>
      <c r="AG5752" s="372" t="s">
        <v>267</v>
      </c>
      <c r="AH5752">
        <v>4188.1099999999997</v>
      </c>
    </row>
    <row r="5753" spans="32:34">
      <c r="AF5753" s="632">
        <f t="shared" si="90"/>
        <v>45536</v>
      </c>
      <c r="AG5753" s="372" t="s">
        <v>268</v>
      </c>
      <c r="AH5753">
        <v>4164.21</v>
      </c>
    </row>
    <row r="5754" spans="32:34">
      <c r="AF5754" s="632">
        <f t="shared" si="90"/>
        <v>45536</v>
      </c>
      <c r="AG5754" s="372" t="s">
        <v>269</v>
      </c>
      <c r="AH5754">
        <v>4164.21</v>
      </c>
    </row>
    <row r="5755" spans="32:34">
      <c r="AF5755" s="632">
        <f t="shared" si="90"/>
        <v>45536</v>
      </c>
      <c r="AG5755" s="372" t="s">
        <v>270</v>
      </c>
      <c r="AH5755">
        <v>4164.21</v>
      </c>
    </row>
    <row r="5756" spans="32:34">
      <c r="AF5756" s="632">
        <f t="shared" si="90"/>
        <v>45566</v>
      </c>
      <c r="AG5756" s="372" t="s">
        <v>271</v>
      </c>
      <c r="AH5756">
        <v>4178.3</v>
      </c>
    </row>
    <row r="5757" spans="32:34">
      <c r="AF5757" s="632">
        <f t="shared" si="90"/>
        <v>45566</v>
      </c>
      <c r="AG5757" s="372" t="s">
        <v>272</v>
      </c>
      <c r="AH5757">
        <v>4224.21</v>
      </c>
    </row>
    <row r="5758" spans="32:34">
      <c r="AF5758" s="632">
        <f t="shared" si="90"/>
        <v>45566</v>
      </c>
      <c r="AG5758" s="372" t="s">
        <v>273</v>
      </c>
      <c r="AH5758">
        <v>4203.43</v>
      </c>
    </row>
    <row r="5759" spans="32:34">
      <c r="AF5759" s="632">
        <f t="shared" si="90"/>
        <v>45566</v>
      </c>
      <c r="AG5759" s="372" t="s">
        <v>274</v>
      </c>
      <c r="AH5759">
        <v>4197.7299999999996</v>
      </c>
    </row>
    <row r="5760" spans="32:34">
      <c r="AF5760" s="632">
        <f t="shared" si="90"/>
        <v>45566</v>
      </c>
      <c r="AG5760" s="372" t="s">
        <v>275</v>
      </c>
      <c r="AH5760">
        <v>4173.66</v>
      </c>
    </row>
    <row r="5761" spans="32:34">
      <c r="AF5761" s="632">
        <f t="shared" si="90"/>
        <v>45566</v>
      </c>
      <c r="AG5761" s="372" t="s">
        <v>276</v>
      </c>
      <c r="AH5761">
        <v>4173.66</v>
      </c>
    </row>
    <row r="5762" spans="32:34">
      <c r="AF5762" s="632">
        <f t="shared" si="90"/>
        <v>45566</v>
      </c>
      <c r="AG5762" s="372" t="s">
        <v>277</v>
      </c>
      <c r="AH5762">
        <v>4173.66</v>
      </c>
    </row>
    <row r="5763" spans="32:34">
      <c r="AF5763" s="632">
        <f t="shared" si="90"/>
        <v>45566</v>
      </c>
      <c r="AG5763" s="372" t="s">
        <v>278</v>
      </c>
      <c r="AH5763">
        <v>4194.97</v>
      </c>
    </row>
    <row r="5764" spans="32:34">
      <c r="AF5764" s="632">
        <f t="shared" si="90"/>
        <v>45566</v>
      </c>
      <c r="AG5764" s="372" t="s">
        <v>279</v>
      </c>
      <c r="AH5764">
        <v>4233.54</v>
      </c>
    </row>
    <row r="5765" spans="32:34">
      <c r="AF5765" s="632">
        <f t="shared" si="90"/>
        <v>45566</v>
      </c>
      <c r="AG5765" s="372" t="s">
        <v>280</v>
      </c>
      <c r="AH5765">
        <v>4233.17</v>
      </c>
    </row>
    <row r="5766" spans="32:34">
      <c r="AF5766" s="632">
        <f t="shared" si="90"/>
        <v>45566</v>
      </c>
      <c r="AG5766" s="372" t="s">
        <v>281</v>
      </c>
      <c r="AH5766">
        <v>4217.3999999999996</v>
      </c>
    </row>
    <row r="5767" spans="32:34">
      <c r="AF5767" s="632">
        <f t="shared" si="90"/>
        <v>45566</v>
      </c>
      <c r="AG5767" s="372" t="s">
        <v>282</v>
      </c>
      <c r="AH5767">
        <v>4192.5600000000004</v>
      </c>
    </row>
    <row r="5768" spans="32:34">
      <c r="AF5768" s="632">
        <f t="shared" si="90"/>
        <v>45566</v>
      </c>
      <c r="AG5768" s="372" t="s">
        <v>283</v>
      </c>
      <c r="AH5768">
        <v>4192.5600000000004</v>
      </c>
    </row>
    <row r="5769" spans="32:34">
      <c r="AF5769" s="632">
        <f t="shared" si="90"/>
        <v>45566</v>
      </c>
      <c r="AG5769" s="372" t="s">
        <v>284</v>
      </c>
      <c r="AH5769">
        <v>4192.5600000000004</v>
      </c>
    </row>
    <row r="5770" spans="32:34">
      <c r="AF5770" s="632">
        <f t="shared" si="90"/>
        <v>45566</v>
      </c>
      <c r="AG5770" s="372" t="s">
        <v>285</v>
      </c>
      <c r="AH5770">
        <v>4192.5600000000004</v>
      </c>
    </row>
    <row r="5771" spans="32:34">
      <c r="AF5771" s="632">
        <f t="shared" si="90"/>
        <v>45566</v>
      </c>
      <c r="AG5771" s="372" t="s">
        <v>286</v>
      </c>
      <c r="AH5771">
        <v>4244.84</v>
      </c>
    </row>
    <row r="5772" spans="32:34">
      <c r="AF5772" s="632">
        <f t="shared" si="90"/>
        <v>45566</v>
      </c>
      <c r="AG5772" s="372" t="s">
        <v>287</v>
      </c>
      <c r="AH5772">
        <v>4266.2</v>
      </c>
    </row>
    <row r="5773" spans="32:34">
      <c r="AF5773" s="632">
        <f t="shared" si="90"/>
        <v>45566</v>
      </c>
      <c r="AG5773" s="372" t="s">
        <v>288</v>
      </c>
      <c r="AH5773">
        <v>4263.17</v>
      </c>
    </row>
    <row r="5774" spans="32:34">
      <c r="AF5774" s="632">
        <f t="shared" si="90"/>
        <v>45566</v>
      </c>
      <c r="AG5774" s="372" t="s">
        <v>289</v>
      </c>
      <c r="AH5774">
        <v>4252.1499999999996</v>
      </c>
    </row>
    <row r="5775" spans="32:34">
      <c r="AF5775" s="632">
        <f t="shared" si="90"/>
        <v>45566</v>
      </c>
      <c r="AG5775" s="372" t="s">
        <v>290</v>
      </c>
      <c r="AH5775">
        <v>4252.1499999999996</v>
      </c>
    </row>
    <row r="5776" spans="32:34">
      <c r="AF5776" s="632">
        <f t="shared" si="90"/>
        <v>45566</v>
      </c>
      <c r="AG5776" s="372" t="s">
        <v>291</v>
      </c>
      <c r="AH5776">
        <v>4252.1499999999996</v>
      </c>
    </row>
    <row r="5777" spans="32:34">
      <c r="AF5777" s="632">
        <f t="shared" si="90"/>
        <v>45566</v>
      </c>
      <c r="AG5777" s="372" t="s">
        <v>292</v>
      </c>
      <c r="AH5777">
        <v>4286.96</v>
      </c>
    </row>
    <row r="5778" spans="32:34">
      <c r="AF5778" s="632">
        <f t="shared" si="90"/>
        <v>45566</v>
      </c>
      <c r="AG5778" s="372" t="s">
        <v>293</v>
      </c>
      <c r="AH5778">
        <v>4262.3</v>
      </c>
    </row>
    <row r="5779" spans="32:34">
      <c r="AF5779" s="632">
        <f t="shared" si="90"/>
        <v>45566</v>
      </c>
      <c r="AG5779" s="372" t="s">
        <v>294</v>
      </c>
      <c r="AH5779">
        <v>4293.91</v>
      </c>
    </row>
    <row r="5780" spans="32:34">
      <c r="AF5780" s="632">
        <f t="shared" si="90"/>
        <v>45566</v>
      </c>
      <c r="AG5780" s="372" t="s">
        <v>295</v>
      </c>
      <c r="AH5780">
        <v>4311.83</v>
      </c>
    </row>
    <row r="5781" spans="32:34">
      <c r="AF5781" s="632">
        <f t="shared" si="90"/>
        <v>45566</v>
      </c>
      <c r="AG5781" s="372" t="s">
        <v>296</v>
      </c>
      <c r="AH5781">
        <v>4316.7299999999996</v>
      </c>
    </row>
    <row r="5782" spans="32:34">
      <c r="AF5782" s="632">
        <f t="shared" si="90"/>
        <v>45566</v>
      </c>
      <c r="AG5782" s="372" t="s">
        <v>297</v>
      </c>
      <c r="AH5782">
        <v>4316.7299999999996</v>
      </c>
    </row>
    <row r="5783" spans="32:34">
      <c r="AF5783" s="632">
        <f t="shared" ref="AF5783:AF5846" si="91">+DATE(YEAR(AG5783),MONTH(AG5783),1)</f>
        <v>45566</v>
      </c>
      <c r="AG5783" s="372" t="s">
        <v>298</v>
      </c>
      <c r="AH5783">
        <v>4316.7299999999996</v>
      </c>
    </row>
    <row r="5784" spans="32:34">
      <c r="AF5784" s="632">
        <f t="shared" si="91"/>
        <v>45566</v>
      </c>
      <c r="AG5784" s="372" t="s">
        <v>299</v>
      </c>
      <c r="AH5784">
        <v>4342.8999999999996</v>
      </c>
    </row>
    <row r="5785" spans="32:34">
      <c r="AF5785" s="632">
        <f t="shared" si="91"/>
        <v>45566</v>
      </c>
      <c r="AG5785" s="372" t="s">
        <v>300</v>
      </c>
      <c r="AH5785">
        <v>4367.3900000000003</v>
      </c>
    </row>
    <row r="5786" spans="32:34">
      <c r="AF5786" s="632">
        <f t="shared" si="91"/>
        <v>45566</v>
      </c>
      <c r="AG5786" s="372" t="s">
        <v>301</v>
      </c>
      <c r="AH5786">
        <v>4413.46</v>
      </c>
    </row>
    <row r="5787" spans="32:34">
      <c r="AF5787" s="632">
        <f t="shared" si="91"/>
        <v>45597</v>
      </c>
      <c r="AG5787" s="372" t="s">
        <v>302</v>
      </c>
      <c r="AH5787">
        <v>4409.57</v>
      </c>
    </row>
    <row r="5788" spans="32:34">
      <c r="AF5788" s="632">
        <f t="shared" si="91"/>
        <v>45597</v>
      </c>
      <c r="AG5788" s="372" t="s">
        <v>303</v>
      </c>
      <c r="AH5788">
        <v>4414</v>
      </c>
    </row>
    <row r="5789" spans="32:34">
      <c r="AF5789" s="632">
        <f t="shared" si="91"/>
        <v>45597</v>
      </c>
      <c r="AG5789" s="372" t="s">
        <v>304</v>
      </c>
      <c r="AH5789">
        <v>4414</v>
      </c>
    </row>
    <row r="5790" spans="32:34">
      <c r="AF5790" s="632">
        <f t="shared" si="91"/>
        <v>45597</v>
      </c>
      <c r="AG5790" s="372" t="s">
        <v>305</v>
      </c>
      <c r="AH5790">
        <v>4414</v>
      </c>
    </row>
    <row r="5791" spans="32:34">
      <c r="AF5791" s="632">
        <f t="shared" si="91"/>
        <v>45597</v>
      </c>
      <c r="AG5791" s="372" t="s">
        <v>306</v>
      </c>
      <c r="AH5791">
        <v>4414</v>
      </c>
    </row>
    <row r="5792" spans="32:34">
      <c r="AF5792" s="632">
        <f t="shared" si="91"/>
        <v>45597</v>
      </c>
      <c r="AG5792" s="372" t="s">
        <v>307</v>
      </c>
      <c r="AH5792">
        <v>4421.8599999999997</v>
      </c>
    </row>
    <row r="5793" spans="32:34">
      <c r="AF5793" s="632">
        <f t="shared" si="91"/>
        <v>45597</v>
      </c>
      <c r="AG5793" s="372" t="s">
        <v>308</v>
      </c>
      <c r="AH5793">
        <v>4430.3999999999996</v>
      </c>
    </row>
    <row r="5794" spans="32:34">
      <c r="AF5794" s="632">
        <f t="shared" si="91"/>
        <v>45597</v>
      </c>
      <c r="AG5794" s="372" t="s">
        <v>309</v>
      </c>
      <c r="AH5794">
        <v>4344.55</v>
      </c>
    </row>
    <row r="5795" spans="32:34">
      <c r="AF5795" s="632">
        <f t="shared" si="91"/>
        <v>45597</v>
      </c>
      <c r="AG5795" s="372" t="s">
        <v>310</v>
      </c>
      <c r="AH5795">
        <v>4346.7</v>
      </c>
    </row>
    <row r="5796" spans="32:34">
      <c r="AF5796" s="632">
        <f t="shared" si="91"/>
        <v>45597</v>
      </c>
      <c r="AG5796" s="372" t="s">
        <v>311</v>
      </c>
      <c r="AH5796">
        <v>4346.7</v>
      </c>
    </row>
    <row r="5797" spans="32:34">
      <c r="AF5797" s="632">
        <f t="shared" si="91"/>
        <v>45597</v>
      </c>
      <c r="AG5797" s="372" t="s">
        <v>312</v>
      </c>
      <c r="AH5797">
        <v>4346.7</v>
      </c>
    </row>
    <row r="5798" spans="32:34">
      <c r="AF5798" s="632">
        <f t="shared" si="91"/>
        <v>45597</v>
      </c>
      <c r="AG5798" s="372" t="s">
        <v>313</v>
      </c>
      <c r="AH5798">
        <v>4346.7</v>
      </c>
    </row>
    <row r="5799" spans="32:34">
      <c r="AF5799" s="632">
        <f t="shared" si="91"/>
        <v>45597</v>
      </c>
      <c r="AG5799" s="372" t="s">
        <v>314</v>
      </c>
      <c r="AH5799">
        <v>4413.79</v>
      </c>
    </row>
    <row r="5800" spans="32:34">
      <c r="AF5800" s="632">
        <f t="shared" si="91"/>
        <v>45597</v>
      </c>
      <c r="AG5800" s="372" t="s">
        <v>315</v>
      </c>
      <c r="AH5800">
        <v>4478.21</v>
      </c>
    </row>
    <row r="5801" spans="32:34">
      <c r="AF5801" s="632">
        <f t="shared" si="91"/>
        <v>45597</v>
      </c>
      <c r="AG5801" s="372" t="s">
        <v>316</v>
      </c>
      <c r="AH5801">
        <v>4475.57</v>
      </c>
    </row>
    <row r="5802" spans="32:34">
      <c r="AF5802" s="632">
        <f t="shared" si="91"/>
        <v>45597</v>
      </c>
      <c r="AG5802" s="372" t="s">
        <v>317</v>
      </c>
      <c r="AH5802">
        <v>4454.68</v>
      </c>
    </row>
    <row r="5803" spans="32:34">
      <c r="AF5803" s="632">
        <f t="shared" si="91"/>
        <v>45597</v>
      </c>
      <c r="AG5803" s="372" t="s">
        <v>318</v>
      </c>
      <c r="AH5803">
        <v>4454.68</v>
      </c>
    </row>
    <row r="5804" spans="32:34">
      <c r="AF5804" s="632">
        <f t="shared" si="91"/>
        <v>45597</v>
      </c>
      <c r="AG5804" s="372" t="s">
        <v>319</v>
      </c>
      <c r="AH5804">
        <v>4454.68</v>
      </c>
    </row>
    <row r="5805" spans="32:34">
      <c r="AF5805" s="632">
        <f t="shared" si="91"/>
        <v>45597</v>
      </c>
      <c r="AG5805" s="372" t="s">
        <v>320</v>
      </c>
      <c r="AH5805">
        <v>4400.6899999999996</v>
      </c>
    </row>
    <row r="5806" spans="32:34">
      <c r="AF5806" s="632">
        <f t="shared" si="91"/>
        <v>45597</v>
      </c>
      <c r="AG5806" s="372" t="s">
        <v>321</v>
      </c>
      <c r="AH5806">
        <v>4401.34</v>
      </c>
    </row>
    <row r="5807" spans="32:34">
      <c r="AF5807" s="632">
        <f t="shared" si="91"/>
        <v>45597</v>
      </c>
      <c r="AG5807" s="372" t="s">
        <v>322</v>
      </c>
      <c r="AH5807">
        <v>4414.0600000000004</v>
      </c>
    </row>
    <row r="5808" spans="32:34">
      <c r="AF5808" s="632">
        <f t="shared" si="91"/>
        <v>45597</v>
      </c>
      <c r="AG5808" s="372" t="s">
        <v>323</v>
      </c>
      <c r="AH5808">
        <v>4387.09</v>
      </c>
    </row>
    <row r="5809" spans="32:34">
      <c r="AF5809" s="632">
        <f t="shared" si="91"/>
        <v>45597</v>
      </c>
      <c r="AG5809" s="372" t="s">
        <v>324</v>
      </c>
      <c r="AH5809">
        <v>4418.58</v>
      </c>
    </row>
    <row r="5810" spans="32:34">
      <c r="AF5810" s="632">
        <f t="shared" si="91"/>
        <v>45597</v>
      </c>
      <c r="AG5810" s="372" t="s">
        <v>325</v>
      </c>
      <c r="AH5810">
        <v>4418.58</v>
      </c>
    </row>
    <row r="5811" spans="32:34">
      <c r="AF5811" s="632">
        <f t="shared" si="91"/>
        <v>45597</v>
      </c>
      <c r="AG5811" s="372" t="s">
        <v>326</v>
      </c>
      <c r="AH5811">
        <v>4418.58</v>
      </c>
    </row>
    <row r="5812" spans="32:34">
      <c r="AF5812" s="632">
        <f t="shared" si="91"/>
        <v>45597</v>
      </c>
      <c r="AG5812" s="372" t="s">
        <v>327</v>
      </c>
      <c r="AH5812">
        <v>4381.99</v>
      </c>
    </row>
    <row r="5813" spans="32:34">
      <c r="AF5813" s="632">
        <f t="shared" si="91"/>
        <v>45597</v>
      </c>
      <c r="AG5813" s="372" t="s">
        <v>328</v>
      </c>
      <c r="AH5813">
        <v>4405.96</v>
      </c>
    </row>
    <row r="5814" spans="32:34">
      <c r="AF5814" s="632">
        <f t="shared" si="91"/>
        <v>45597</v>
      </c>
      <c r="AG5814" s="372" t="s">
        <v>329</v>
      </c>
      <c r="AH5814">
        <v>4406.16</v>
      </c>
    </row>
    <row r="5815" spans="32:34">
      <c r="AF5815" s="632">
        <f t="shared" si="91"/>
        <v>45597</v>
      </c>
      <c r="AG5815" s="372" t="s">
        <v>330</v>
      </c>
      <c r="AH5815">
        <v>4406.16</v>
      </c>
    </row>
    <row r="5816" spans="32:34">
      <c r="AF5816" s="632">
        <f t="shared" si="91"/>
        <v>45597</v>
      </c>
      <c r="AG5816" s="372" t="s">
        <v>331</v>
      </c>
      <c r="AH5816">
        <v>4419.59</v>
      </c>
    </row>
    <row r="5817" spans="32:34">
      <c r="AF5817" s="632">
        <f t="shared" si="91"/>
        <v>45627</v>
      </c>
      <c r="AG5817" s="372" t="s">
        <v>332</v>
      </c>
      <c r="AH5817">
        <v>4419.59</v>
      </c>
    </row>
    <row r="5818" spans="32:34">
      <c r="AF5818" s="632">
        <f t="shared" si="91"/>
        <v>45627</v>
      </c>
      <c r="AG5818" s="372" t="s">
        <v>333</v>
      </c>
      <c r="AH5818">
        <v>4419.59</v>
      </c>
    </row>
    <row r="5819" spans="32:34">
      <c r="AF5819" s="632">
        <f t="shared" si="91"/>
        <v>45627</v>
      </c>
      <c r="AG5819" s="372" t="s">
        <v>334</v>
      </c>
      <c r="AH5819">
        <v>4462.97</v>
      </c>
    </row>
    <row r="5820" spans="32:34">
      <c r="AF5820" s="632">
        <f t="shared" si="91"/>
        <v>45627</v>
      </c>
      <c r="AG5820" s="372" t="s">
        <v>335</v>
      </c>
      <c r="AH5820">
        <v>4443.53</v>
      </c>
    </row>
    <row r="5821" spans="32:34">
      <c r="AF5821" s="632">
        <f t="shared" si="91"/>
        <v>45627</v>
      </c>
      <c r="AG5821" s="372" t="s">
        <v>336</v>
      </c>
      <c r="AH5821">
        <v>4424.5600000000004</v>
      </c>
    </row>
    <row r="5822" spans="32:34">
      <c r="AF5822" s="632">
        <f t="shared" si="91"/>
        <v>45627</v>
      </c>
      <c r="AG5822" s="372" t="s">
        <v>337</v>
      </c>
      <c r="AH5822">
        <v>4407.13</v>
      </c>
    </row>
    <row r="5823" spans="32:34">
      <c r="AF5823" s="632">
        <f t="shared" si="91"/>
        <v>45627</v>
      </c>
      <c r="AG5823" s="372" t="s">
        <v>338</v>
      </c>
      <c r="AH5823">
        <v>4396.5200000000004</v>
      </c>
    </row>
    <row r="5824" spans="32:34">
      <c r="AF5824" s="632">
        <f t="shared" si="91"/>
        <v>45627</v>
      </c>
      <c r="AG5824" s="372" t="s">
        <v>339</v>
      </c>
      <c r="AH5824">
        <v>4396.5200000000004</v>
      </c>
    </row>
    <row r="5825" spans="32:34">
      <c r="AF5825" s="632">
        <f t="shared" si="91"/>
        <v>45627</v>
      </c>
      <c r="AG5825" s="372" t="s">
        <v>340</v>
      </c>
      <c r="AH5825">
        <v>4396.5200000000004</v>
      </c>
    </row>
    <row r="5826" spans="32:34">
      <c r="AF5826" s="632">
        <f t="shared" si="91"/>
        <v>45627</v>
      </c>
      <c r="AG5826" s="372" t="s">
        <v>341</v>
      </c>
      <c r="AH5826">
        <v>4379.71</v>
      </c>
    </row>
    <row r="5827" spans="32:34">
      <c r="AF5827" s="632">
        <f t="shared" si="91"/>
        <v>45627</v>
      </c>
      <c r="AG5827" s="372" t="s">
        <v>342</v>
      </c>
      <c r="AH5827">
        <v>4377.34</v>
      </c>
    </row>
    <row r="5828" spans="32:34">
      <c r="AF5828" s="632">
        <f t="shared" si="91"/>
        <v>45627</v>
      </c>
      <c r="AG5828" s="372" t="s">
        <v>343</v>
      </c>
      <c r="AH5828">
        <v>4361.22</v>
      </c>
    </row>
    <row r="5829" spans="32:34">
      <c r="AF5829" s="632">
        <f t="shared" si="91"/>
        <v>45627</v>
      </c>
      <c r="AG5829" s="372" t="s">
        <v>344</v>
      </c>
      <c r="AH5829">
        <v>4335.2</v>
      </c>
    </row>
    <row r="5830" spans="32:34">
      <c r="AF5830" s="632">
        <f t="shared" si="91"/>
        <v>45627</v>
      </c>
      <c r="AG5830" s="372" t="s">
        <v>345</v>
      </c>
      <c r="AH5830">
        <v>4341.32</v>
      </c>
    </row>
    <row r="5831" spans="32:34">
      <c r="AF5831" s="632">
        <f t="shared" si="91"/>
        <v>45627</v>
      </c>
      <c r="AG5831" s="372" t="s">
        <v>346</v>
      </c>
      <c r="AH5831">
        <v>4341.32</v>
      </c>
    </row>
    <row r="5832" spans="32:34">
      <c r="AF5832" s="632">
        <f t="shared" si="91"/>
        <v>45627</v>
      </c>
      <c r="AG5832" s="372" t="s">
        <v>347</v>
      </c>
      <c r="AH5832">
        <v>4341.32</v>
      </c>
    </row>
    <row r="5833" spans="32:34">
      <c r="AF5833" s="632">
        <f t="shared" si="91"/>
        <v>45627</v>
      </c>
      <c r="AG5833" s="372" t="s">
        <v>348</v>
      </c>
      <c r="AH5833">
        <v>4324.1899999999996</v>
      </c>
    </row>
    <row r="5834" spans="32:34">
      <c r="AF5834" s="632">
        <f t="shared" si="91"/>
        <v>45627</v>
      </c>
      <c r="AG5834" s="372" t="s">
        <v>349</v>
      </c>
      <c r="AH5834">
        <v>4345.32</v>
      </c>
    </row>
    <row r="5835" spans="32:34">
      <c r="AF5835" s="632">
        <f t="shared" si="91"/>
        <v>45627</v>
      </c>
      <c r="AG5835" s="372" t="s">
        <v>350</v>
      </c>
      <c r="AH5835">
        <v>4359.1099999999997</v>
      </c>
    </row>
    <row r="5836" spans="32:34">
      <c r="AF5836" s="632">
        <f t="shared" si="91"/>
        <v>45627</v>
      </c>
      <c r="AG5836" s="372" t="s">
        <v>351</v>
      </c>
      <c r="AH5836">
        <v>4394.5</v>
      </c>
    </row>
    <row r="5837" spans="32:34">
      <c r="AF5837" s="632">
        <f t="shared" si="91"/>
        <v>45627</v>
      </c>
      <c r="AG5837" s="372" t="s">
        <v>352</v>
      </c>
      <c r="AH5837">
        <v>4374.62</v>
      </c>
    </row>
    <row r="5838" spans="32:34">
      <c r="AF5838" s="632">
        <f t="shared" si="91"/>
        <v>45627</v>
      </c>
      <c r="AG5838" s="372" t="s">
        <v>353</v>
      </c>
      <c r="AH5838">
        <v>4374.62</v>
      </c>
    </row>
    <row r="5839" spans="32:34">
      <c r="AF5839" s="632">
        <f t="shared" si="91"/>
        <v>45627</v>
      </c>
      <c r="AG5839" s="372" t="s">
        <v>354</v>
      </c>
      <c r="AH5839">
        <v>4374.62</v>
      </c>
    </row>
    <row r="5840" spans="32:34">
      <c r="AF5840" s="632">
        <f t="shared" si="91"/>
        <v>45627</v>
      </c>
      <c r="AG5840" s="372" t="s">
        <v>355</v>
      </c>
      <c r="AH5840">
        <v>4395.4399999999996</v>
      </c>
    </row>
    <row r="5841" spans="32:34">
      <c r="AF5841" s="632">
        <f t="shared" si="91"/>
        <v>45627</v>
      </c>
      <c r="AG5841" s="372" t="s">
        <v>356</v>
      </c>
      <c r="AH5841">
        <v>4380.9399999999996</v>
      </c>
    </row>
    <row r="5842" spans="32:34">
      <c r="AF5842" s="632">
        <f t="shared" si="91"/>
        <v>45627</v>
      </c>
      <c r="AG5842" s="372" t="s">
        <v>357</v>
      </c>
      <c r="AH5842">
        <v>4380.9399999999996</v>
      </c>
    </row>
    <row r="5843" spans="32:34">
      <c r="AF5843" s="632">
        <f t="shared" si="91"/>
        <v>45627</v>
      </c>
      <c r="AG5843" s="372" t="s">
        <v>358</v>
      </c>
      <c r="AH5843">
        <v>4375.8599999999997</v>
      </c>
    </row>
    <row r="5844" spans="32:34">
      <c r="AF5844" s="632">
        <f t="shared" si="91"/>
        <v>45627</v>
      </c>
      <c r="AG5844" s="372" t="s">
        <v>359</v>
      </c>
      <c r="AH5844">
        <v>4401.9799999999996</v>
      </c>
    </row>
    <row r="5845" spans="32:34">
      <c r="AF5845" s="632">
        <f t="shared" si="91"/>
        <v>45627</v>
      </c>
      <c r="AG5845" s="372" t="s">
        <v>360</v>
      </c>
      <c r="AH5845">
        <v>4401.9799999999996</v>
      </c>
    </row>
    <row r="5846" spans="32:34">
      <c r="AF5846" s="655">
        <f t="shared" si="91"/>
        <v>45627</v>
      </c>
      <c r="AG5846" s="656" t="s">
        <v>361</v>
      </c>
      <c r="AH5846" s="652">
        <v>4401.9799999999996</v>
      </c>
    </row>
    <row r="5847" spans="32:34">
      <c r="AF5847" s="655">
        <f t="shared" ref="AF5847:AF5874" si="92">+DATE(YEAR(AG5847),MONTH(AG5847),1)</f>
        <v>45627</v>
      </c>
      <c r="AG5847" s="656" t="s">
        <v>362</v>
      </c>
      <c r="AH5847" s="652">
        <v>4409.1499999999996</v>
      </c>
    </row>
    <row r="5848" spans="32:34">
      <c r="AF5848" s="655">
        <f t="shared" si="92"/>
        <v>45658</v>
      </c>
      <c r="AG5848" s="656" t="s">
        <v>363</v>
      </c>
      <c r="AH5848" s="652">
        <v>4409.1499999999996</v>
      </c>
    </row>
    <row r="5849" spans="32:34">
      <c r="AF5849" s="655">
        <f t="shared" si="92"/>
        <v>45658</v>
      </c>
      <c r="AG5849" s="656" t="s">
        <v>364</v>
      </c>
      <c r="AH5849" s="652">
        <v>4409.1499999999996</v>
      </c>
    </row>
    <row r="5850" spans="32:34">
      <c r="AF5850" s="655">
        <f t="shared" si="92"/>
        <v>45658</v>
      </c>
      <c r="AG5850" s="656" t="s">
        <v>365</v>
      </c>
      <c r="AH5850" s="652">
        <v>4410.5</v>
      </c>
    </row>
    <row r="5851" spans="32:34">
      <c r="AF5851" s="655">
        <f t="shared" si="92"/>
        <v>45658</v>
      </c>
      <c r="AG5851" s="656" t="s">
        <v>366</v>
      </c>
      <c r="AH5851" s="652">
        <v>4355.51</v>
      </c>
    </row>
    <row r="5852" spans="32:34">
      <c r="AF5852" s="655">
        <f t="shared" si="92"/>
        <v>45658</v>
      </c>
      <c r="AG5852" s="656" t="s">
        <v>367</v>
      </c>
      <c r="AH5852" s="652">
        <v>4355.51</v>
      </c>
    </row>
    <row r="5853" spans="32:34">
      <c r="AF5853" s="655">
        <f t="shared" si="92"/>
        <v>45658</v>
      </c>
      <c r="AG5853" s="656" t="s">
        <v>368</v>
      </c>
      <c r="AH5853" s="652">
        <v>4355.51</v>
      </c>
    </row>
    <row r="5854" spans="32:34">
      <c r="AF5854" s="655">
        <f t="shared" si="92"/>
        <v>45658</v>
      </c>
      <c r="AG5854" s="656" t="s">
        <v>369</v>
      </c>
      <c r="AH5854" s="652">
        <v>4355.51</v>
      </c>
    </row>
    <row r="5855" spans="32:34">
      <c r="AF5855" s="655">
        <f t="shared" si="92"/>
        <v>45658</v>
      </c>
      <c r="AG5855" s="656" t="s">
        <v>370</v>
      </c>
      <c r="AH5855" s="652">
        <v>4342.3100000000004</v>
      </c>
    </row>
    <row r="5856" spans="32:34">
      <c r="AF5856" s="655">
        <f t="shared" si="92"/>
        <v>45658</v>
      </c>
      <c r="AG5856" s="656" t="s">
        <v>371</v>
      </c>
      <c r="AH5856" s="652">
        <v>4347.42</v>
      </c>
    </row>
    <row r="5857" spans="32:34">
      <c r="AF5857" s="655">
        <f t="shared" si="92"/>
        <v>45658</v>
      </c>
      <c r="AG5857" s="656" t="s">
        <v>372</v>
      </c>
      <c r="AH5857" s="652">
        <v>4321.1899999999996</v>
      </c>
    </row>
    <row r="5858" spans="32:34">
      <c r="AF5858" s="655">
        <f t="shared" si="92"/>
        <v>45658</v>
      </c>
      <c r="AG5858" s="656" t="s">
        <v>373</v>
      </c>
      <c r="AH5858" s="652">
        <v>4343.4799999999996</v>
      </c>
    </row>
    <row r="5859" spans="32:34">
      <c r="AF5859" s="655">
        <f t="shared" si="92"/>
        <v>45658</v>
      </c>
      <c r="AG5859" s="656" t="s">
        <v>374</v>
      </c>
      <c r="AH5859" s="652">
        <v>4343.4799999999996</v>
      </c>
    </row>
    <row r="5860" spans="32:34">
      <c r="AF5860" s="655">
        <f t="shared" si="92"/>
        <v>45658</v>
      </c>
      <c r="AG5860" s="656" t="s">
        <v>375</v>
      </c>
      <c r="AH5860" s="652">
        <v>4343.4799999999996</v>
      </c>
    </row>
    <row r="5861" spans="32:34">
      <c r="AF5861" s="655">
        <f t="shared" si="92"/>
        <v>45658</v>
      </c>
      <c r="AG5861" s="656" t="s">
        <v>376</v>
      </c>
      <c r="AH5861" s="652">
        <v>4331.2299999999996</v>
      </c>
    </row>
    <row r="5862" spans="32:34">
      <c r="AF5862" s="655">
        <f t="shared" si="92"/>
        <v>45658</v>
      </c>
      <c r="AG5862" s="656" t="s">
        <v>377</v>
      </c>
      <c r="AH5862" s="652">
        <v>4300.24</v>
      </c>
    </row>
    <row r="5863" spans="32:34">
      <c r="AF5863" s="655">
        <f t="shared" si="92"/>
        <v>45658</v>
      </c>
      <c r="AG5863" s="656" t="s">
        <v>378</v>
      </c>
      <c r="AH5863" s="652">
        <v>4294.1099999999997</v>
      </c>
    </row>
    <row r="5864" spans="32:34">
      <c r="AF5864" s="655">
        <f t="shared" si="92"/>
        <v>45658</v>
      </c>
      <c r="AG5864" s="656" t="s">
        <v>379</v>
      </c>
      <c r="AH5864" s="652">
        <v>4338.1499999999996</v>
      </c>
    </row>
    <row r="5865" spans="32:34">
      <c r="AF5865" s="655">
        <f t="shared" si="92"/>
        <v>45658</v>
      </c>
      <c r="AG5865" s="656" t="s">
        <v>380</v>
      </c>
      <c r="AH5865" s="652">
        <v>4344.2700000000004</v>
      </c>
    </row>
    <row r="5866" spans="32:34">
      <c r="AF5866" s="655">
        <f t="shared" si="92"/>
        <v>45658</v>
      </c>
      <c r="AG5866" s="656" t="s">
        <v>381</v>
      </c>
      <c r="AH5866" s="652">
        <v>4344.2700000000004</v>
      </c>
    </row>
    <row r="5867" spans="32:34">
      <c r="AF5867" s="655">
        <f t="shared" si="92"/>
        <v>45658</v>
      </c>
      <c r="AG5867" s="656" t="s">
        <v>382</v>
      </c>
      <c r="AH5867" s="652">
        <v>4344.2700000000004</v>
      </c>
    </row>
    <row r="5868" spans="32:34">
      <c r="AF5868" s="655">
        <f t="shared" si="92"/>
        <v>45658</v>
      </c>
      <c r="AG5868" s="656" t="s">
        <v>383</v>
      </c>
      <c r="AH5868" s="652">
        <v>4344.2700000000004</v>
      </c>
    </row>
    <row r="5869" spans="32:34">
      <c r="AF5869" s="655">
        <f t="shared" si="92"/>
        <v>45658</v>
      </c>
      <c r="AG5869" s="656" t="s">
        <v>384</v>
      </c>
      <c r="AH5869" s="652">
        <v>4307.07</v>
      </c>
    </row>
    <row r="5870" spans="32:34">
      <c r="AF5870" s="655">
        <f t="shared" si="92"/>
        <v>45658</v>
      </c>
      <c r="AG5870" s="656" t="s">
        <v>385</v>
      </c>
      <c r="AH5870" s="652">
        <v>4278.01</v>
      </c>
    </row>
    <row r="5871" spans="32:34">
      <c r="AF5871" s="655">
        <f t="shared" si="92"/>
        <v>45658</v>
      </c>
      <c r="AG5871" s="656" t="s">
        <v>386</v>
      </c>
      <c r="AH5871" s="652">
        <v>4245.6499999999996</v>
      </c>
    </row>
    <row r="5872" spans="32:34">
      <c r="AF5872" s="655">
        <f t="shared" si="92"/>
        <v>45658</v>
      </c>
      <c r="AG5872" s="656" t="s">
        <v>387</v>
      </c>
      <c r="AH5872" s="652">
        <v>4188.46</v>
      </c>
    </row>
    <row r="5873" spans="32:34">
      <c r="AF5873" s="655">
        <f t="shared" si="92"/>
        <v>45658</v>
      </c>
      <c r="AG5873" s="656" t="s">
        <v>388</v>
      </c>
      <c r="AH5873" s="652">
        <v>4188.46</v>
      </c>
    </row>
    <row r="5874" spans="32:34">
      <c r="AF5874" s="655">
        <f t="shared" si="92"/>
        <v>45658</v>
      </c>
      <c r="AG5874" s="656" t="s">
        <v>389</v>
      </c>
      <c r="AH5874" s="652">
        <v>4188.46</v>
      </c>
    </row>
  </sheetData>
  <sheetProtection algorithmName="SHA-512" hashValue="zYV9ax+DOnXZUnsaYZmLTUDnrkok7tSyTVl7XNgAckCdpS4G3ggz9bT4R6IdnXIjoB2SxqoS5KCbb6WYOKLsFQ==" saltValue="/xmsj28J6xS42udEWPQL5w==" spinCount="100000" sheet="1" objects="1" scenarios="1"/>
  <mergeCells count="1">
    <mergeCell ref="B35:F35"/>
  </mergeCells>
  <dataValidations count="2">
    <dataValidation allowBlank="1" showInputMessage="1" showErrorMessage="1" prompt="https://www.banrep.gov.co/es/estadisticas/indice-precios-consumidor-ipc" sqref="B5 B21" xr:uid="{00000000-0002-0000-0300-000000000000}"/>
    <dataValidation operator="equal" allowBlank="1" showErrorMessage="1" sqref="C37:D41 C19:C32" xr:uid="{00000000-0002-0000-0200-000000000000}">
      <formula1>0</formula1>
      <formula2>0</formula2>
    </dataValidation>
  </dataValidations>
  <hyperlinks>
    <hyperlink ref="F5" r:id="rId1" xr:uid="{00000000-0004-0000-0300-000002000000}"/>
    <hyperlink ref="F3" r:id="rId2" xr:uid="{00000000-0004-0000-0300-000004000000}"/>
    <hyperlink ref="F6" r:id="rId3" xr:uid="{242FDECB-3F5B-E04B-8EBF-BBE12D6B1749}"/>
    <hyperlink ref="F7:F12" r:id="rId4" display="https://data.bls.gov/cgi-bin/srgate" xr:uid="{939A479C-C0DF-8146-BBCF-1922B89FE9F3}"/>
    <hyperlink ref="F13" r:id="rId5" xr:uid="{9482DA8F-9AD0-CA4A-9C26-AC7E76348333}"/>
    <hyperlink ref="F4" r:id="rId6" xr:uid="{0201FD53-D9E8-C548-BD3B-A9FE4E5D358B}"/>
  </hyperlinks>
  <pageMargins left="0.7" right="0.7" top="0.75" bottom="0.75" header="0.3" footer="0.3"/>
  <ignoredErrors>
    <ignoredError sqref="J4:J195" calculatedColumn="1"/>
  </ignoredErrors>
  <drawing r:id="rId7"/>
  <tableParts count="3">
    <tablePart r:id="rId8"/>
    <tablePart r:id="rId9"/>
    <tablePart r:id="rId10"/>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0">
    <tabColor theme="5" tint="0.59999389629810485"/>
  </sheetPr>
  <dimension ref="B2:M18"/>
  <sheetViews>
    <sheetView showGridLines="0" showRowColHeaders="0" topLeftCell="C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5.140625" customWidth="1"/>
    <col min="3" max="3" width="38.42578125" customWidth="1"/>
    <col min="4" max="4" width="58.85546875" style="121" customWidth="1"/>
    <col min="5" max="5" width="11.140625" style="121" customWidth="1"/>
    <col min="6" max="6" width="10.140625" style="121" customWidth="1"/>
    <col min="7" max="7" width="10" style="121" customWidth="1"/>
    <col min="8" max="9" width="14.140625" style="121" customWidth="1"/>
    <col min="10" max="10" width="11.42578125" style="121" customWidth="1"/>
    <col min="11" max="11" width="14.5703125" style="121" bestFit="1" customWidth="1"/>
    <col min="12" max="12" width="11.28515625" customWidth="1"/>
    <col min="13" max="13" width="13.28515625" bestFit="1" customWidth="1"/>
    <col min="14" max="1025" width="8.42578125" customWidth="1"/>
  </cols>
  <sheetData>
    <row r="2" spans="2:13" ht="13.5" thickBot="1">
      <c r="K2"/>
    </row>
    <row r="3" spans="2:13" ht="13.5" thickBot="1">
      <c r="G3" s="228"/>
      <c r="H3" s="195" t="s">
        <v>129</v>
      </c>
      <c r="I3" s="433">
        <f>trm_base</f>
        <v>4385.1487096774199</v>
      </c>
      <c r="K3"/>
    </row>
    <row r="4" spans="2:13" ht="13.5" thickBot="1"/>
    <row r="5" spans="2:13" s="229" customFormat="1" ht="39" customHeight="1" thickBot="1">
      <c r="C5" s="512" t="s">
        <v>1025</v>
      </c>
      <c r="D5" s="287" t="s">
        <v>968</v>
      </c>
      <c r="E5" s="287" t="s">
        <v>969</v>
      </c>
      <c r="F5" s="287" t="s">
        <v>970</v>
      </c>
      <c r="G5" s="287" t="s">
        <v>715</v>
      </c>
      <c r="H5" s="287" t="s">
        <v>971</v>
      </c>
      <c r="I5" s="287" t="s">
        <v>972</v>
      </c>
      <c r="J5" s="287" t="s">
        <v>973</v>
      </c>
      <c r="K5" s="480" t="s">
        <v>974</v>
      </c>
      <c r="L5" s="502" t="s">
        <v>1022</v>
      </c>
      <c r="M5" s="287" t="s">
        <v>976</v>
      </c>
    </row>
    <row r="6" spans="2:13">
      <c r="M6" s="121"/>
    </row>
    <row r="7" spans="2:13">
      <c r="K7" s="230"/>
      <c r="M7" s="121"/>
    </row>
    <row r="8" spans="2:13" ht="15">
      <c r="B8">
        <v>2.4</v>
      </c>
      <c r="C8" s="252" t="s">
        <v>1026</v>
      </c>
      <c r="K8" s="230"/>
      <c r="M8" s="121"/>
    </row>
    <row r="9" spans="2:13" ht="13.5" thickBot="1">
      <c r="K9" s="230"/>
      <c r="M9" s="121"/>
    </row>
    <row r="10" spans="2:13" ht="69.75" customHeight="1" thickBot="1">
      <c r="B10" s="478" t="s">
        <v>1027</v>
      </c>
      <c r="C10" s="513" t="s">
        <v>1028</v>
      </c>
      <c r="D10" s="522" t="s">
        <v>1029</v>
      </c>
      <c r="E10" s="514">
        <v>1</v>
      </c>
      <c r="F10" s="515">
        <v>1</v>
      </c>
      <c r="G10" s="514" t="s">
        <v>980</v>
      </c>
      <c r="H10" s="516">
        <f>+I10/$I$3</f>
        <v>54539.628856432857</v>
      </c>
      <c r="I10" s="555">
        <f>M10*L10</f>
        <v>239164383.10607192</v>
      </c>
      <c r="J10" s="516">
        <f>+H10*F10*E10</f>
        <v>54539.628856432857</v>
      </c>
      <c r="K10" s="516">
        <f>+I10*F10*E10</f>
        <v>239164383.10607192</v>
      </c>
      <c r="L10" s="421">
        <f>0.65*ipc/ipc_base+0.35*fac_mano_obra*trm/trm_base</f>
        <v>1</v>
      </c>
      <c r="M10" s="555">
        <v>239164383.10607192</v>
      </c>
    </row>
    <row r="11" spans="2:13" ht="15.75" thickBot="1">
      <c r="H11" s="250"/>
      <c r="J11" s="250"/>
      <c r="K11" s="250"/>
      <c r="M11" s="121"/>
    </row>
    <row r="12" spans="2:13" s="250" customFormat="1" ht="57.75" customHeight="1" thickBot="1">
      <c r="B12" s="478" t="s">
        <v>1030</v>
      </c>
      <c r="C12" s="513" t="s">
        <v>1031</v>
      </c>
      <c r="D12" s="522" t="s">
        <v>1032</v>
      </c>
      <c r="E12" s="514">
        <v>1</v>
      </c>
      <c r="F12" s="515">
        <v>1</v>
      </c>
      <c r="G12" s="514" t="s">
        <v>980</v>
      </c>
      <c r="H12" s="516">
        <f>+I12/$I$3</f>
        <v>54539.628856432857</v>
      </c>
      <c r="I12" s="555">
        <f>M12*L12</f>
        <v>239164383.10607192</v>
      </c>
      <c r="J12" s="516">
        <f>+H12*F12*E12</f>
        <v>54539.628856432857</v>
      </c>
      <c r="K12" s="516">
        <f>+I12*F12*E12</f>
        <v>239164383.10607192</v>
      </c>
      <c r="L12" s="421">
        <f>0.65*ipc/ipc_base+0.35*fac_mano_obra*trm/trm_base</f>
        <v>1</v>
      </c>
      <c r="M12" s="555">
        <v>239164383.10607192</v>
      </c>
    </row>
    <row r="13" spans="2:13" ht="13.5" thickBot="1">
      <c r="M13" s="121"/>
    </row>
    <row r="14" spans="2:13" ht="78.95" customHeight="1" thickBot="1">
      <c r="B14" s="478" t="s">
        <v>1033</v>
      </c>
      <c r="C14" s="513" t="s">
        <v>1034</v>
      </c>
      <c r="D14" s="522" t="s">
        <v>1035</v>
      </c>
      <c r="E14" s="514">
        <v>1</v>
      </c>
      <c r="F14" s="515">
        <v>1</v>
      </c>
      <c r="G14" s="514" t="s">
        <v>980</v>
      </c>
      <c r="H14" s="516">
        <f>+I14/$I$3</f>
        <v>54539.628856432857</v>
      </c>
      <c r="I14" s="555">
        <f>M14*L14</f>
        <v>239164383.10607192</v>
      </c>
      <c r="J14" s="516">
        <f>+H14*F14*E14</f>
        <v>54539.628856432857</v>
      </c>
      <c r="K14" s="516">
        <f>+I14*F14*E14</f>
        <v>239164383.10607192</v>
      </c>
      <c r="L14" s="421">
        <f>0.65*ipc/ipc_base+0.35*fac_mano_obra*trm/trm_base</f>
        <v>1</v>
      </c>
      <c r="M14" s="555">
        <v>239164383.10607192</v>
      </c>
    </row>
    <row r="15" spans="2:13" ht="14.1" customHeight="1" thickBot="1">
      <c r="B15" s="121"/>
      <c r="C15" s="254"/>
      <c r="D15" s="233"/>
      <c r="F15" s="249"/>
      <c r="H15" s="250"/>
      <c r="I15" s="250"/>
      <c r="J15" s="250"/>
      <c r="K15" s="250"/>
      <c r="L15" s="34"/>
      <c r="M15" s="250"/>
    </row>
    <row r="16" spans="2:13" ht="75.75" thickBot="1">
      <c r="B16" s="478" t="s">
        <v>1033</v>
      </c>
      <c r="C16" s="513" t="s">
        <v>1036</v>
      </c>
      <c r="D16" s="522" t="s">
        <v>1037</v>
      </c>
      <c r="E16" s="514">
        <v>1</v>
      </c>
      <c r="F16" s="515">
        <v>1</v>
      </c>
      <c r="G16" s="514" t="s">
        <v>980</v>
      </c>
      <c r="H16" s="516">
        <f>+I16/$I$3</f>
        <v>54539.628856432857</v>
      </c>
      <c r="I16" s="555">
        <f>M16*L16</f>
        <v>239164383.10607192</v>
      </c>
      <c r="J16" s="516">
        <f>+H16*F16*E16</f>
        <v>54539.628856432857</v>
      </c>
      <c r="K16" s="516">
        <f>+I16*F16*E16</f>
        <v>239164383.10607192</v>
      </c>
      <c r="L16" s="421">
        <f>0.65*ipc/ipc_base+0.35*fac_mano_obra*trm/trm_base</f>
        <v>1</v>
      </c>
      <c r="M16" s="555">
        <v>239164383.10607192</v>
      </c>
    </row>
    <row r="17" spans="2:12" ht="15.75" customHeight="1" thickBot="1">
      <c r="B17" s="121"/>
      <c r="C17" s="254"/>
      <c r="D17" s="233"/>
      <c r="F17" s="249"/>
      <c r="H17" s="250"/>
      <c r="I17" s="250"/>
      <c r="J17" s="250"/>
      <c r="K17" s="250"/>
      <c r="L17" s="34"/>
    </row>
    <row r="18" spans="2:12" ht="15.75" thickBot="1">
      <c r="G18" s="784" t="s">
        <v>1038</v>
      </c>
      <c r="H18" s="785"/>
      <c r="I18" s="785"/>
      <c r="J18" s="516">
        <f>SUM(J10:J16)*ipc/ipc_base</f>
        <v>218158.51542573143</v>
      </c>
      <c r="K18" s="519">
        <f>SUM(K10:K16)</f>
        <v>956657532.42428768</v>
      </c>
      <c r="L18" s="34"/>
    </row>
  </sheetData>
  <sheetProtection algorithmName="SHA-512" hashValue="Liu8JNhegCROhkYrlQzTs/PTiv1o4q2MZQqpdrpMXYJ7Nj0J5AmO9jYl4HKftdnavHdLrsGiOr6wBSjWXCZo+Q==" saltValue="eNmvIAcBERfucw1ypPC4lw==" spinCount="100000"/>
  <mergeCells count="1">
    <mergeCell ref="G18:I18"/>
  </mergeCells>
  <pageMargins left="0.7" right="0.7" top="0.75" bottom="0.75" header="0.51180555555555496" footer="0.51180555555555496"/>
  <pageSetup firstPageNumber="0" orientation="portrait"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31">
    <tabColor theme="5" tint="0.59999389629810485"/>
  </sheetPr>
  <dimension ref="B1:R61"/>
  <sheetViews>
    <sheetView showGridLines="0" showRowColHeaders="0" topLeftCell="E1" zoomScaleNormal="100" workbookViewId="0">
      <pane ySplit="5" topLeftCell="A6" activePane="bottomLeft" state="frozen"/>
      <selection activeCell="C17" sqref="C17:H17"/>
      <selection pane="bottomLeft" activeCell="C17" sqref="C17:H17"/>
    </sheetView>
  </sheetViews>
  <sheetFormatPr baseColWidth="10" defaultColWidth="9.140625" defaultRowHeight="15"/>
  <cols>
    <col min="1" max="1" width="3.85546875" customWidth="1"/>
    <col min="2" max="2" width="6.140625" customWidth="1"/>
    <col min="3" max="3" width="34.85546875" customWidth="1"/>
    <col min="4" max="4" width="65.42578125" style="121" customWidth="1"/>
    <col min="5" max="5" width="11" style="255" customWidth="1"/>
    <col min="6" max="6" width="6.7109375" style="121" customWidth="1"/>
    <col min="7" max="7" width="13.140625" style="121" customWidth="1"/>
    <col min="8" max="8" width="18.85546875" style="121" customWidth="1"/>
    <col min="9" max="9" width="14" style="121" customWidth="1"/>
    <col min="10" max="10" width="14.42578125" style="121" customWidth="1"/>
    <col min="11" max="12" width="15.42578125" customWidth="1"/>
    <col min="13" max="13" width="11.140625" customWidth="1"/>
    <col min="14" max="14" width="11.28515625" customWidth="1"/>
    <col min="15" max="15" width="15.140625" bestFit="1" customWidth="1"/>
    <col min="16" max="16" width="13.28515625" bestFit="1" customWidth="1"/>
    <col min="17" max="1026" width="8.42578125" customWidth="1"/>
  </cols>
  <sheetData>
    <row r="1" spans="2:18">
      <c r="C1" s="256"/>
      <c r="D1" s="257"/>
    </row>
    <row r="2" spans="2:18" ht="15.75" thickBot="1">
      <c r="C2" s="198"/>
      <c r="D2" s="233"/>
      <c r="F2" s="255"/>
      <c r="G2" s="255"/>
      <c r="H2" s="255"/>
      <c r="I2" s="255"/>
    </row>
    <row r="3" spans="2:18" ht="15.75" thickBot="1">
      <c r="C3" s="198"/>
      <c r="D3" s="233"/>
      <c r="G3" s="195" t="s">
        <v>129</v>
      </c>
      <c r="H3" s="430">
        <f>trm</f>
        <v>4385.1487096774199</v>
      </c>
    </row>
    <row r="4" spans="2:18" ht="15.75" thickBot="1"/>
    <row r="5" spans="2:18" s="229" customFormat="1" ht="51.75" thickBot="1">
      <c r="C5" s="308" t="s">
        <v>1025</v>
      </c>
      <c r="D5" s="196" t="s">
        <v>968</v>
      </c>
      <c r="E5" s="560" t="s">
        <v>969</v>
      </c>
      <c r="F5" s="196" t="s">
        <v>715</v>
      </c>
      <c r="G5" s="196" t="s">
        <v>971</v>
      </c>
      <c r="H5" s="196" t="s">
        <v>972</v>
      </c>
      <c r="I5" s="196" t="s">
        <v>1039</v>
      </c>
      <c r="J5" s="196" t="s">
        <v>1040</v>
      </c>
      <c r="K5" s="196" t="s">
        <v>1041</v>
      </c>
      <c r="L5" s="477" t="s">
        <v>1042</v>
      </c>
      <c r="M5" s="605" t="s">
        <v>961</v>
      </c>
      <c r="N5" s="197" t="s">
        <v>962</v>
      </c>
      <c r="O5" s="196" t="s">
        <v>976</v>
      </c>
      <c r="P5" s="196" t="s">
        <v>1043</v>
      </c>
      <c r="Q5"/>
      <c r="R5"/>
    </row>
    <row r="6" spans="2:18">
      <c r="J6" s="230"/>
      <c r="O6" s="121"/>
    </row>
    <row r="7" spans="2:18">
      <c r="B7">
        <v>2.5</v>
      </c>
      <c r="C7" s="232" t="s">
        <v>1044</v>
      </c>
      <c r="D7" s="121" t="s">
        <v>1045</v>
      </c>
      <c r="J7" s="230"/>
      <c r="O7" s="121"/>
    </row>
    <row r="8" spans="2:18" ht="15.75" thickBot="1">
      <c r="G8" s="250"/>
      <c r="I8" s="250"/>
      <c r="J8" s="250"/>
      <c r="O8" s="121"/>
    </row>
    <row r="9" spans="2:18" ht="15" customHeight="1" thickBot="1">
      <c r="B9" s="788" t="s">
        <v>447</v>
      </c>
      <c r="C9" s="791" t="s">
        <v>448</v>
      </c>
      <c r="D9" s="234" t="s">
        <v>1046</v>
      </c>
      <c r="E9" s="561">
        <v>6</v>
      </c>
      <c r="F9" s="205" t="s">
        <v>984</v>
      </c>
      <c r="G9" s="236">
        <f>+H9/$H$3</f>
        <v>13834.665445733042</v>
      </c>
      <c r="H9" s="562">
        <f>O9*M9</f>
        <v>60667065.328175038</v>
      </c>
      <c r="I9" s="399">
        <f>+G9*E9</f>
        <v>83007.992674398251</v>
      </c>
      <c r="J9" s="236">
        <f>+H9*E9</f>
        <v>364002391.96905023</v>
      </c>
      <c r="K9" s="563">
        <f>P9*N9</f>
        <v>96401643.651985914</v>
      </c>
      <c r="L9" s="564">
        <f>+K9/$H$3</f>
        <v>21983.665785208323</v>
      </c>
      <c r="M9" s="434">
        <f>+(ppi_usa_trans_pot/ppi_usa_trans_pot_base)*(trm/trm_base)</f>
        <v>1</v>
      </c>
      <c r="N9" s="421">
        <f>0.65*ipc/ipc_base+0.35*fac_mano_obra*trm/trm_base</f>
        <v>1</v>
      </c>
      <c r="O9" s="562">
        <v>60667065.328175038</v>
      </c>
      <c r="P9" s="563">
        <v>96401643.651985914</v>
      </c>
    </row>
    <row r="10" spans="2:18" ht="15.75" thickBot="1">
      <c r="B10" s="789"/>
      <c r="C10" s="792"/>
      <c r="D10" s="239" t="s">
        <v>1047</v>
      </c>
      <c r="E10" s="258">
        <v>6</v>
      </c>
      <c r="F10" s="213" t="s">
        <v>984</v>
      </c>
      <c r="G10" s="241">
        <f>+H10/$H$3</f>
        <v>11682.606376396792</v>
      </c>
      <c r="H10" s="402">
        <f t="shared" ref="H10:H12" si="0">O10*M10</f>
        <v>51229966.27712559</v>
      </c>
      <c r="I10" s="398">
        <f>+G10*E10</f>
        <v>70095.638258380757</v>
      </c>
      <c r="J10" s="241">
        <f>+H10*E10</f>
        <v>307379797.66275352</v>
      </c>
      <c r="K10" s="431">
        <f t="shared" ref="K10:K12" si="1">P10*N10</f>
        <v>78298739.576880157</v>
      </c>
      <c r="L10" s="432">
        <f t="shared" ref="L10:L12" si="2">+K10/$H$3</f>
        <v>17855.435416382941</v>
      </c>
      <c r="M10" s="434">
        <f>+(ppi_usa_trans_pot/ppi_usa_trans_pot_base)*(trm/trm_base)</f>
        <v>1</v>
      </c>
      <c r="N10" s="421">
        <f>0.65*ipc/ipc_base+0.35*fac_mano_obra*trm/trm_base</f>
        <v>1</v>
      </c>
      <c r="O10" s="402">
        <v>51229966.27712559</v>
      </c>
      <c r="P10" s="431">
        <v>78298739.576880157</v>
      </c>
    </row>
    <row r="11" spans="2:18" ht="15.75" thickBot="1">
      <c r="B11" s="789"/>
      <c r="C11" s="792"/>
      <c r="D11" s="261" t="s">
        <v>1048</v>
      </c>
      <c r="E11" s="258">
        <v>2</v>
      </c>
      <c r="F11" s="213" t="s">
        <v>984</v>
      </c>
      <c r="G11" s="241">
        <f>+H11/$H$3</f>
        <v>36892.441188621444</v>
      </c>
      <c r="H11" s="262">
        <f t="shared" si="0"/>
        <v>161778840.87513342</v>
      </c>
      <c r="I11" s="241">
        <f>+G11*E11</f>
        <v>73784.882377242888</v>
      </c>
      <c r="J11" s="241">
        <f>+H11*E11</f>
        <v>323557681.75026685</v>
      </c>
      <c r="K11" s="431">
        <f t="shared" si="1"/>
        <v>65248949.647400133</v>
      </c>
      <c r="L11" s="432">
        <f t="shared" si="2"/>
        <v>14879.529513652451</v>
      </c>
      <c r="M11" s="434">
        <f>+(ppi_usa_trans_pot/ppi_usa_trans_pot_base)*(trm/trm_base)</f>
        <v>1</v>
      </c>
      <c r="N11" s="421">
        <f>0.65*ipc/ipc_base+0.35*fac_mano_obra*trm/trm_base</f>
        <v>1</v>
      </c>
      <c r="O11" s="262">
        <v>161778840.87513342</v>
      </c>
      <c r="P11" s="431">
        <v>65248949.647400133</v>
      </c>
    </row>
    <row r="12" spans="2:18" s="250" customFormat="1" ht="15.75" thickBot="1">
      <c r="B12" s="790"/>
      <c r="C12" s="793"/>
      <c r="D12" s="244" t="s">
        <v>1049</v>
      </c>
      <c r="E12" s="565">
        <v>2</v>
      </c>
      <c r="F12" s="222" t="s">
        <v>984</v>
      </c>
      <c r="G12" s="246">
        <f>+H12/$H$3</f>
        <v>23057.775742888403</v>
      </c>
      <c r="H12" s="295">
        <f t="shared" si="0"/>
        <v>101111775.5469584</v>
      </c>
      <c r="I12" s="246">
        <f>+G12*E12</f>
        <v>46115.551485776807</v>
      </c>
      <c r="J12" s="246">
        <f>+H12*E12</f>
        <v>202223551.0939168</v>
      </c>
      <c r="K12" s="566">
        <f t="shared" si="1"/>
        <v>50899086.661035821</v>
      </c>
      <c r="L12" s="567">
        <f t="shared" si="2"/>
        <v>11607.151782266481</v>
      </c>
      <c r="M12" s="434">
        <f>+(ppi_usa_trans_pot/ppi_usa_trans_pot_base)*(trm/trm_base)</f>
        <v>1</v>
      </c>
      <c r="N12" s="421">
        <f>0.65*ipc/ipc_base+0.35*fac_mano_obra*trm/trm_base</f>
        <v>1</v>
      </c>
      <c r="O12" s="295">
        <v>101111775.5469584</v>
      </c>
      <c r="P12" s="566">
        <v>50899086.661035821</v>
      </c>
    </row>
    <row r="13" spans="2:18">
      <c r="G13" s="250"/>
      <c r="H13" s="263">
        <f>SUM(H9:H12)</f>
        <v>374787648.02739245</v>
      </c>
      <c r="I13" s="263">
        <f>SUM(I9:I12)+K13/H3</f>
        <v>339329.84729330888</v>
      </c>
      <c r="J13" s="263">
        <f>SUM(J9:J12)</f>
        <v>1197163422.4759874</v>
      </c>
      <c r="K13" s="263">
        <f>SUM(K9:K12)</f>
        <v>290848419.53730202</v>
      </c>
      <c r="L13" s="263">
        <f>SUM(L9:L12)</f>
        <v>66325.782497510198</v>
      </c>
      <c r="M13" s="413"/>
    </row>
    <row r="14" spans="2:18" ht="15.75" thickBot="1">
      <c r="G14" s="250"/>
      <c r="I14" s="250"/>
      <c r="J14" s="250"/>
      <c r="K14" s="121"/>
      <c r="L14" s="121"/>
      <c r="M14" s="413"/>
      <c r="O14" s="121"/>
      <c r="P14" s="121"/>
    </row>
    <row r="15" spans="2:18" ht="26.25" thickBot="1">
      <c r="B15" s="478" t="s">
        <v>449</v>
      </c>
      <c r="C15" s="479" t="s">
        <v>1050</v>
      </c>
      <c r="D15" s="568" t="s">
        <v>1051</v>
      </c>
      <c r="E15" s="569">
        <v>2</v>
      </c>
      <c r="F15" s="514" t="s">
        <v>984</v>
      </c>
      <c r="G15" s="516">
        <f>+H15/$H$3</f>
        <v>430411.81386725022</v>
      </c>
      <c r="H15" s="570">
        <f>O15*M15</f>
        <v>1887419810.2098901</v>
      </c>
      <c r="I15" s="518">
        <f>+G15*E15</f>
        <v>860823.62773450045</v>
      </c>
      <c r="J15" s="516">
        <f>+H15*E15</f>
        <v>3774839620.4197803</v>
      </c>
      <c r="K15" s="571">
        <f>P15*N15</f>
        <v>610789039.93242979</v>
      </c>
      <c r="L15" s="572">
        <f>+K15/$H$3</f>
        <v>139285.82138719776</v>
      </c>
      <c r="M15" s="421">
        <f>+(ppi_usa_trans_pot/ppi_usa_trans_pot_base)*(trm/trm_base)</f>
        <v>1</v>
      </c>
      <c r="N15" s="421">
        <f>0.65*ipc/ipc_base+0.35*fac_mano_obra*trm/trm_base</f>
        <v>1</v>
      </c>
      <c r="O15" s="570">
        <v>1887419810.2098901</v>
      </c>
      <c r="P15" s="571">
        <v>610789039.93242979</v>
      </c>
    </row>
    <row r="16" spans="2:18" ht="15.75" thickBot="1">
      <c r="B16" s="121"/>
      <c r="C16" s="254"/>
      <c r="D16" s="233"/>
      <c r="G16" s="250"/>
      <c r="H16" s="264"/>
      <c r="I16" s="250"/>
      <c r="J16" s="250"/>
      <c r="K16" s="121"/>
      <c r="L16" s="121"/>
      <c r="M16" s="121"/>
      <c r="O16" s="264"/>
      <c r="P16" s="121"/>
    </row>
    <row r="17" spans="2:16" ht="26.25" thickBot="1">
      <c r="B17" s="478" t="s">
        <v>451</v>
      </c>
      <c r="C17" s="479" t="s">
        <v>1052</v>
      </c>
      <c r="D17" s="568" t="s">
        <v>1053</v>
      </c>
      <c r="E17" s="569">
        <v>2</v>
      </c>
      <c r="F17" s="514" t="s">
        <v>984</v>
      </c>
      <c r="G17" s="516">
        <f>+H17/$H$3</f>
        <v>116826.06376396792</v>
      </c>
      <c r="H17" s="570">
        <f>O17*M17</f>
        <v>512299662.77125591</v>
      </c>
      <c r="I17" s="518">
        <f>+G17*E17</f>
        <v>233652.12752793584</v>
      </c>
      <c r="J17" s="516">
        <f>+H17*E17</f>
        <v>1024599325.5425118</v>
      </c>
      <c r="K17" s="571">
        <f>P17*N17</f>
        <v>155027579.61337173</v>
      </c>
      <c r="L17" s="572">
        <f>+K17/$H$3</f>
        <v>35352.867115144167</v>
      </c>
      <c r="M17" s="421">
        <f>+(ppi_usa_trans_pot/ppi_usa_trans_pot_base)*(trm/trm_base)</f>
        <v>1</v>
      </c>
      <c r="N17" s="421">
        <f>0.65*ipc/ipc_base+0.35*fac_mano_obra*trm/trm_base</f>
        <v>1</v>
      </c>
      <c r="O17" s="570">
        <v>512299662.77125591</v>
      </c>
      <c r="P17" s="571">
        <v>155027579.61337173</v>
      </c>
    </row>
    <row r="18" spans="2:16" ht="15.75" thickBot="1">
      <c r="B18" s="121"/>
      <c r="C18" s="254"/>
      <c r="D18" s="233"/>
      <c r="G18" s="250"/>
      <c r="H18" s="264"/>
      <c r="I18" s="250"/>
      <c r="J18" s="250"/>
      <c r="K18" s="121"/>
      <c r="L18" s="121"/>
      <c r="M18" s="121"/>
      <c r="O18" s="264"/>
      <c r="P18" s="121"/>
    </row>
    <row r="19" spans="2:16" ht="26.25" thickBot="1">
      <c r="B19" s="478" t="s">
        <v>453</v>
      </c>
      <c r="C19" s="479" t="s">
        <v>1054</v>
      </c>
      <c r="D19" s="568" t="s">
        <v>1055</v>
      </c>
      <c r="E19" s="569">
        <v>2</v>
      </c>
      <c r="F19" s="514" t="s">
        <v>984</v>
      </c>
      <c r="G19" s="516">
        <f t="shared" ref="G19:G31" si="3">+H19/$H$3</f>
        <v>55338.661782932169</v>
      </c>
      <c r="H19" s="570">
        <f>O19*M19</f>
        <v>242668261.31270015</v>
      </c>
      <c r="I19" s="518">
        <f>+G19*E19</f>
        <v>110677.32356586434</v>
      </c>
      <c r="J19" s="516">
        <f t="shared" ref="J19:J31" si="4">+H19*E19</f>
        <v>485336522.6254003</v>
      </c>
      <c r="K19" s="571">
        <f>P19*N19</f>
        <v>82910319.476771593</v>
      </c>
      <c r="L19" s="572">
        <f>+K19/$H$3</f>
        <v>18907.071336896723</v>
      </c>
      <c r="M19" s="421">
        <f>+(ppi_usa_trans_pot/ppi_usa_trans_pot_base)*(trm/trm_base)</f>
        <v>1</v>
      </c>
      <c r="N19" s="421">
        <f>0.65*ipc/ipc_base+0.35*fac_mano_obra*trm/trm_base</f>
        <v>1</v>
      </c>
      <c r="O19" s="570">
        <v>242668261.31270015</v>
      </c>
      <c r="P19" s="571">
        <v>82910319.476771593</v>
      </c>
    </row>
    <row r="20" spans="2:16" ht="15.75" thickBot="1">
      <c r="B20" s="121"/>
      <c r="C20" s="254"/>
      <c r="D20" s="233"/>
      <c r="G20" s="250">
        <f t="shared" si="3"/>
        <v>0</v>
      </c>
      <c r="H20" s="264"/>
      <c r="I20" s="250">
        <f>+G20*E20</f>
        <v>0</v>
      </c>
      <c r="J20" s="250">
        <f t="shared" si="4"/>
        <v>0</v>
      </c>
      <c r="K20" s="121"/>
      <c r="L20" s="121"/>
      <c r="M20" s="188"/>
      <c r="O20" s="264"/>
      <c r="P20" s="121"/>
    </row>
    <row r="21" spans="2:16" ht="26.25" thickBot="1">
      <c r="B21" s="478" t="s">
        <v>455</v>
      </c>
      <c r="C21" s="479" t="s">
        <v>1056</v>
      </c>
      <c r="D21" s="568" t="s">
        <v>1057</v>
      </c>
      <c r="E21" s="569">
        <v>2</v>
      </c>
      <c r="F21" s="514" t="s">
        <v>984</v>
      </c>
      <c r="G21" s="516">
        <f t="shared" si="3"/>
        <v>46115.551485776807</v>
      </c>
      <c r="H21" s="570">
        <f>O21*M21</f>
        <v>202223551.0939168</v>
      </c>
      <c r="I21" s="518">
        <f>+G21*E21</f>
        <v>92231.102971553613</v>
      </c>
      <c r="J21" s="516">
        <f t="shared" si="4"/>
        <v>404447102.18783361</v>
      </c>
      <c r="K21" s="571">
        <f>P21*N21</f>
        <v>78494977.01942873</v>
      </c>
      <c r="L21" s="572">
        <f>+K21/$H$3</f>
        <v>17900.185881085654</v>
      </c>
      <c r="M21" s="421">
        <f>+(ppi_usa_trans_pot/ppi_usa_trans_pot_base)*(trm/trm_base)</f>
        <v>1</v>
      </c>
      <c r="N21" s="421">
        <f>0.65*ipc/ipc_base+0.35*fac_mano_obra*trm/trm_base</f>
        <v>1</v>
      </c>
      <c r="O21" s="570">
        <v>202223551.0939168</v>
      </c>
      <c r="P21" s="571">
        <v>78494977.01942873</v>
      </c>
    </row>
    <row r="22" spans="2:16" ht="15.75" thickBot="1">
      <c r="G22" s="250">
        <f t="shared" si="3"/>
        <v>0</v>
      </c>
      <c r="I22" s="250">
        <f t="shared" ref="I22:I28" si="5">+G22*E22</f>
        <v>0</v>
      </c>
      <c r="J22" s="250">
        <f t="shared" si="4"/>
        <v>0</v>
      </c>
      <c r="K22" s="121"/>
      <c r="L22" s="121"/>
      <c r="M22" s="413"/>
      <c r="O22" s="121"/>
      <c r="P22" s="121"/>
    </row>
    <row r="23" spans="2:16" ht="25.5" customHeight="1" thickBot="1">
      <c r="B23" s="788" t="s">
        <v>461</v>
      </c>
      <c r="C23" s="791" t="s">
        <v>1058</v>
      </c>
      <c r="D23" s="234" t="s">
        <v>1059</v>
      </c>
      <c r="E23" s="561">
        <v>2</v>
      </c>
      <c r="F23" s="205" t="s">
        <v>984</v>
      </c>
      <c r="G23" s="236">
        <f t="shared" si="3"/>
        <v>38429.626238147343</v>
      </c>
      <c r="H23" s="291">
        <f t="shared" ref="H23:H31" si="6">O23*M23</f>
        <v>168519625.91159734</v>
      </c>
      <c r="I23" s="236">
        <f t="shared" si="5"/>
        <v>76859.252476294685</v>
      </c>
      <c r="J23" s="236">
        <f t="shared" si="4"/>
        <v>337039251.82319468</v>
      </c>
      <c r="K23" s="573">
        <f t="shared" ref="K23:K31" si="7">P23*N23</f>
        <v>91986301.19464305</v>
      </c>
      <c r="L23" s="564">
        <f t="shared" ref="L23:L31" si="8">+K23/$H$3</f>
        <v>20976.780329397254</v>
      </c>
      <c r="M23" s="421">
        <f t="shared" ref="M23:M31" si="9">+(ppi_usa_trans_pot/ppi_usa_trans_pot_base)*(trm/trm_base)</f>
        <v>1</v>
      </c>
      <c r="N23" s="421">
        <f t="shared" ref="N23:N31" si="10">0.65*ipc/ipc_base+0.35*fac_mano_obra*trm/trm_base</f>
        <v>1</v>
      </c>
      <c r="O23" s="291">
        <v>168519625.91159734</v>
      </c>
      <c r="P23" s="573">
        <v>91986301.19464305</v>
      </c>
    </row>
    <row r="24" spans="2:16" ht="15.75" thickBot="1">
      <c r="B24" s="789"/>
      <c r="C24" s="792"/>
      <c r="D24" s="239" t="s">
        <v>1060</v>
      </c>
      <c r="E24" s="258">
        <v>3</v>
      </c>
      <c r="F24" s="213" t="s">
        <v>984</v>
      </c>
      <c r="G24" s="241">
        <f t="shared" si="3"/>
        <v>34432.945109380016</v>
      </c>
      <c r="H24" s="262">
        <f t="shared" si="6"/>
        <v>150993584.81679121</v>
      </c>
      <c r="I24" s="241">
        <f t="shared" si="5"/>
        <v>103298.83532814005</v>
      </c>
      <c r="J24" s="241">
        <f t="shared" si="4"/>
        <v>452980754.45037365</v>
      </c>
      <c r="K24" s="260">
        <f t="shared" si="7"/>
        <v>119410483.79080595</v>
      </c>
      <c r="L24" s="432">
        <f t="shared" si="8"/>
        <v>27230.657771601553</v>
      </c>
      <c r="M24" s="421">
        <f t="shared" si="9"/>
        <v>1</v>
      </c>
      <c r="N24" s="421">
        <f t="shared" si="10"/>
        <v>1</v>
      </c>
      <c r="O24" s="262">
        <v>150993584.81679121</v>
      </c>
      <c r="P24" s="260">
        <v>119410483.79080595</v>
      </c>
    </row>
    <row r="25" spans="2:16" ht="26.25" thickBot="1">
      <c r="B25" s="789"/>
      <c r="C25" s="792"/>
      <c r="D25" s="239" t="s">
        <v>1061</v>
      </c>
      <c r="E25" s="258">
        <v>22</v>
      </c>
      <c r="F25" s="213" t="s">
        <v>984</v>
      </c>
      <c r="G25" s="241">
        <f t="shared" si="3"/>
        <v>4550.0677465966455</v>
      </c>
      <c r="H25" s="262">
        <f t="shared" si="6"/>
        <v>19952723.707933124</v>
      </c>
      <c r="I25" s="241">
        <f t="shared" si="5"/>
        <v>100101.49042512621</v>
      </c>
      <c r="J25" s="241">
        <f t="shared" si="4"/>
        <v>438959921.57452875</v>
      </c>
      <c r="K25" s="260">
        <f t="shared" si="7"/>
        <v>139770118.45522028</v>
      </c>
      <c r="L25" s="432">
        <f t="shared" si="8"/>
        <v>31873.518484508146</v>
      </c>
      <c r="M25" s="421">
        <f t="shared" si="9"/>
        <v>1</v>
      </c>
      <c r="N25" s="421">
        <f t="shared" si="10"/>
        <v>1</v>
      </c>
      <c r="O25" s="262">
        <v>19952723.707933124</v>
      </c>
      <c r="P25" s="260">
        <v>139770118.45522028</v>
      </c>
    </row>
    <row r="26" spans="2:16" ht="15.75" thickBot="1">
      <c r="B26" s="789"/>
      <c r="C26" s="792"/>
      <c r="D26" s="239" t="s">
        <v>1062</v>
      </c>
      <c r="E26" s="258">
        <v>2</v>
      </c>
      <c r="F26" s="213" t="s">
        <v>984</v>
      </c>
      <c r="G26" s="241">
        <f t="shared" si="3"/>
        <v>41503.996337199125</v>
      </c>
      <c r="H26" s="262">
        <f t="shared" si="6"/>
        <v>182001195.98452511</v>
      </c>
      <c r="I26" s="241">
        <f t="shared" si="5"/>
        <v>83007.992674398251</v>
      </c>
      <c r="J26" s="241">
        <f t="shared" si="4"/>
        <v>364002391.96905023</v>
      </c>
      <c r="K26" s="260">
        <f t="shared" si="7"/>
        <v>102656712.13322164</v>
      </c>
      <c r="L26" s="432">
        <f t="shared" si="8"/>
        <v>23410.086847607334</v>
      </c>
      <c r="M26" s="421">
        <f t="shared" si="9"/>
        <v>1</v>
      </c>
      <c r="N26" s="421">
        <f t="shared" si="10"/>
        <v>1</v>
      </c>
      <c r="O26" s="262">
        <v>182001195.98452511</v>
      </c>
      <c r="P26" s="260">
        <v>102656712.13322164</v>
      </c>
    </row>
    <row r="27" spans="2:16" ht="15.75" thickBot="1">
      <c r="B27" s="789"/>
      <c r="C27" s="792"/>
      <c r="D27" s="239" t="s">
        <v>1063</v>
      </c>
      <c r="E27" s="258">
        <v>1</v>
      </c>
      <c r="F27" s="213" t="s">
        <v>984</v>
      </c>
      <c r="G27" s="241">
        <f t="shared" si="3"/>
        <v>26132.145841940193</v>
      </c>
      <c r="H27" s="262">
        <f t="shared" si="6"/>
        <v>114593345.61988619</v>
      </c>
      <c r="I27" s="241">
        <f t="shared" si="5"/>
        <v>26132.145841940193</v>
      </c>
      <c r="J27" s="241">
        <f t="shared" si="4"/>
        <v>114593345.61988619</v>
      </c>
      <c r="K27" s="260">
        <f t="shared" si="7"/>
        <v>27105296.752021484</v>
      </c>
      <c r="L27" s="432">
        <f t="shared" si="8"/>
        <v>6181.1579370623904</v>
      </c>
      <c r="M27" s="421">
        <f t="shared" si="9"/>
        <v>1</v>
      </c>
      <c r="N27" s="421">
        <f t="shared" si="10"/>
        <v>1</v>
      </c>
      <c r="O27" s="262">
        <v>114593345.61988619</v>
      </c>
      <c r="P27" s="260">
        <v>27105296.752021484</v>
      </c>
    </row>
    <row r="28" spans="2:16" ht="15.75" thickBot="1">
      <c r="B28" s="789"/>
      <c r="C28" s="792"/>
      <c r="D28" s="239" t="s">
        <v>1064</v>
      </c>
      <c r="E28" s="258">
        <v>1</v>
      </c>
      <c r="F28" s="213" t="s">
        <v>984</v>
      </c>
      <c r="G28" s="241">
        <f t="shared" si="3"/>
        <v>12912.354416017508</v>
      </c>
      <c r="H28" s="262">
        <f t="shared" si="6"/>
        <v>56622594.306296706</v>
      </c>
      <c r="I28" s="241">
        <f t="shared" si="5"/>
        <v>12912.354416017508</v>
      </c>
      <c r="J28" s="241">
        <f t="shared" si="4"/>
        <v>56622594.306296706</v>
      </c>
      <c r="K28" s="260">
        <f t="shared" si="7"/>
        <v>13393205.453940026</v>
      </c>
      <c r="L28" s="432">
        <f t="shared" si="8"/>
        <v>3054.2192159602396</v>
      </c>
      <c r="M28" s="421">
        <f t="shared" si="9"/>
        <v>1</v>
      </c>
      <c r="N28" s="421">
        <f t="shared" si="10"/>
        <v>1</v>
      </c>
      <c r="O28" s="262">
        <v>56622594.306296706</v>
      </c>
      <c r="P28" s="260">
        <v>13393205.453940026</v>
      </c>
    </row>
    <row r="29" spans="2:16" ht="15" customHeight="1" thickBot="1">
      <c r="B29" s="789"/>
      <c r="C29" s="792" t="s">
        <v>1065</v>
      </c>
      <c r="D29" s="239" t="s">
        <v>1066</v>
      </c>
      <c r="E29" s="258">
        <v>2</v>
      </c>
      <c r="F29" s="213" t="s">
        <v>984</v>
      </c>
      <c r="G29" s="241">
        <f t="shared" si="3"/>
        <v>46115.551485776807</v>
      </c>
      <c r="H29" s="402">
        <f t="shared" si="6"/>
        <v>202223551.0939168</v>
      </c>
      <c r="I29" s="398">
        <f>+G29*E29</f>
        <v>92231.102971553613</v>
      </c>
      <c r="J29" s="241">
        <f t="shared" si="4"/>
        <v>404447102.18783361</v>
      </c>
      <c r="K29" s="260">
        <f t="shared" si="7"/>
        <v>95665753.242428765</v>
      </c>
      <c r="L29" s="432">
        <f t="shared" si="8"/>
        <v>21815.851542573142</v>
      </c>
      <c r="M29" s="421">
        <f t="shared" si="9"/>
        <v>1</v>
      </c>
      <c r="N29" s="421">
        <f t="shared" si="10"/>
        <v>1</v>
      </c>
      <c r="O29" s="402">
        <v>202223551.0939168</v>
      </c>
      <c r="P29" s="260">
        <v>95665753.242428765</v>
      </c>
    </row>
    <row r="30" spans="2:16" ht="15.75" thickBot="1">
      <c r="B30" s="789"/>
      <c r="C30" s="792"/>
      <c r="D30" s="239" t="s">
        <v>1067</v>
      </c>
      <c r="E30" s="258">
        <v>6</v>
      </c>
      <c r="F30" s="213" t="s">
        <v>984</v>
      </c>
      <c r="G30" s="241">
        <f t="shared" si="3"/>
        <v>46115.551485776807</v>
      </c>
      <c r="H30" s="402">
        <f t="shared" si="6"/>
        <v>202223551.0939168</v>
      </c>
      <c r="I30" s="241">
        <f>+G30*E30</f>
        <v>276693.30891466083</v>
      </c>
      <c r="J30" s="241">
        <f t="shared" si="4"/>
        <v>1213341306.5635009</v>
      </c>
      <c r="K30" s="260">
        <f t="shared" si="7"/>
        <v>348321460.52371502</v>
      </c>
      <c r="L30" s="432">
        <f t="shared" si="8"/>
        <v>79432.074847317606</v>
      </c>
      <c r="M30" s="421">
        <f t="shared" si="9"/>
        <v>1</v>
      </c>
      <c r="N30" s="421">
        <f t="shared" si="10"/>
        <v>1</v>
      </c>
      <c r="O30" s="402">
        <v>202223551.0939168</v>
      </c>
      <c r="P30" s="260">
        <v>348321460.52371502</v>
      </c>
    </row>
    <row r="31" spans="2:16" ht="15.75" thickBot="1">
      <c r="B31" s="790"/>
      <c r="C31" s="793"/>
      <c r="D31" s="244" t="s">
        <v>1068</v>
      </c>
      <c r="E31" s="565">
        <v>1</v>
      </c>
      <c r="F31" s="222" t="s">
        <v>984</v>
      </c>
      <c r="G31" s="246">
        <f t="shared" si="3"/>
        <v>46115.551485776807</v>
      </c>
      <c r="H31" s="574">
        <f t="shared" si="6"/>
        <v>202223551.0939168</v>
      </c>
      <c r="I31" s="575">
        <f>+G31*E31*N31</f>
        <v>46115.551485776807</v>
      </c>
      <c r="J31" s="246">
        <f t="shared" si="4"/>
        <v>202223551.0939168</v>
      </c>
      <c r="K31" s="576">
        <f t="shared" si="7"/>
        <v>47832876.621214382</v>
      </c>
      <c r="L31" s="567">
        <f t="shared" si="8"/>
        <v>10907.925771286571</v>
      </c>
      <c r="M31" s="421">
        <f t="shared" si="9"/>
        <v>1</v>
      </c>
      <c r="N31" s="421">
        <f t="shared" si="10"/>
        <v>1</v>
      </c>
      <c r="O31" s="574">
        <v>202223551.0939168</v>
      </c>
      <c r="P31" s="576">
        <v>47832876.621214382</v>
      </c>
    </row>
    <row r="32" spans="2:16">
      <c r="G32" s="250"/>
      <c r="H32" s="582">
        <f>SUM(H23:H31)</f>
        <v>1299353723.6287801</v>
      </c>
      <c r="I32" s="583">
        <f>SUM(I23:I31)+L32</f>
        <v>1042234.3072812222</v>
      </c>
      <c r="J32" s="582">
        <f>SUM(J23:J31)</f>
        <v>3584210219.5885816</v>
      </c>
      <c r="K32" s="582">
        <f>SUM(K23:K31)</f>
        <v>986142208.16721058</v>
      </c>
      <c r="L32" s="582">
        <f>SUM(L23:L31)</f>
        <v>224882.27274731421</v>
      </c>
      <c r="M32" s="413"/>
    </row>
    <row r="33" spans="2:16" ht="15.75" thickBot="1">
      <c r="G33" s="250"/>
      <c r="I33" s="250"/>
      <c r="J33" s="250"/>
      <c r="K33" s="121"/>
      <c r="L33" s="121"/>
      <c r="M33" s="413"/>
      <c r="O33" s="121"/>
      <c r="P33" s="121"/>
    </row>
    <row r="34" spans="2:16" ht="15" customHeight="1" thickBot="1">
      <c r="B34" s="788" t="s">
        <v>463</v>
      </c>
      <c r="C34" s="791" t="s">
        <v>1069</v>
      </c>
      <c r="D34" s="234" t="s">
        <v>1070</v>
      </c>
      <c r="E34" s="561">
        <v>1200</v>
      </c>
      <c r="F34" s="205" t="s">
        <v>1018</v>
      </c>
      <c r="G34" s="236">
        <f>+H34/$H$3</f>
        <v>57.403854272729504</v>
      </c>
      <c r="H34" s="291">
        <f t="shared" ref="H34:H38" si="11">O34*M34</f>
        <v>251724.43749457042</v>
      </c>
      <c r="I34" s="236">
        <f>+G34*E34</f>
        <v>68884.625127275402</v>
      </c>
      <c r="J34" s="236">
        <f>+H34*E34</f>
        <v>302069324.9934845</v>
      </c>
      <c r="K34" s="573">
        <f t="shared" ref="K34:K38" si="12">P34*N34</f>
        <v>76532602.593943015</v>
      </c>
      <c r="L34" s="564">
        <f t="shared" ref="L34:L38" si="13">+K34/$H$3</f>
        <v>17452.681234058513</v>
      </c>
      <c r="M34" s="417">
        <f>+(ipc/ipc_base)</f>
        <v>1</v>
      </c>
      <c r="N34" s="421">
        <f>0.65*ipc/ipc_base+0.35*fac_mano_obra*trm/trm_base</f>
        <v>1</v>
      </c>
      <c r="O34" s="291">
        <v>251724.43749457042</v>
      </c>
      <c r="P34" s="573">
        <v>76532602.593943015</v>
      </c>
    </row>
    <row r="35" spans="2:16" ht="15.75" thickBot="1">
      <c r="B35" s="789"/>
      <c r="C35" s="792"/>
      <c r="D35" s="239" t="s">
        <v>1071</v>
      </c>
      <c r="E35" s="258">
        <v>2400</v>
      </c>
      <c r="F35" s="213" t="s">
        <v>1018</v>
      </c>
      <c r="G35" s="241">
        <f>+H35/$H$3</f>
        <v>34.442312563637699</v>
      </c>
      <c r="H35" s="262">
        <f t="shared" si="11"/>
        <v>151034.66249674224</v>
      </c>
      <c r="I35" s="241">
        <f>+G35*E35</f>
        <v>82661.550152730473</v>
      </c>
      <c r="J35" s="241">
        <f>+H35*E35</f>
        <v>362483189.99218136</v>
      </c>
      <c r="K35" s="260">
        <f t="shared" si="12"/>
        <v>95371397.078605905</v>
      </c>
      <c r="L35" s="432">
        <f t="shared" si="13"/>
        <v>21748.725845519071</v>
      </c>
      <c r="M35" s="419">
        <f>+(ipc/ipc_base)</f>
        <v>1</v>
      </c>
      <c r="N35" s="421">
        <f>0.65*ipc/ipc_base+0.35*fac_mano_obra*trm/trm_base</f>
        <v>1</v>
      </c>
      <c r="O35" s="262">
        <v>151034.66249674224</v>
      </c>
      <c r="P35" s="260">
        <v>95371397.078605905</v>
      </c>
    </row>
    <row r="36" spans="2:16" ht="15.75" thickBot="1">
      <c r="B36" s="789"/>
      <c r="C36" s="792"/>
      <c r="D36" s="239" t="s">
        <v>1072</v>
      </c>
      <c r="E36" s="258">
        <v>3500</v>
      </c>
      <c r="F36" s="213" t="s">
        <v>1018</v>
      </c>
      <c r="G36" s="241">
        <f>+H36/$H$3</f>
        <v>11.4807708545459</v>
      </c>
      <c r="H36" s="262">
        <f t="shared" si="11"/>
        <v>50344.887498914082</v>
      </c>
      <c r="I36" s="241">
        <f>+G36*E36</f>
        <v>40182.697990910652</v>
      </c>
      <c r="J36" s="241">
        <f>+H36*E36</f>
        <v>176207106.24619928</v>
      </c>
      <c r="K36" s="260">
        <f t="shared" si="12"/>
        <v>44644018.179800093</v>
      </c>
      <c r="L36" s="432">
        <f t="shared" si="13"/>
        <v>10180.730719867466</v>
      </c>
      <c r="M36" s="419">
        <f>+(ipc/ipc_base)</f>
        <v>1</v>
      </c>
      <c r="N36" s="421">
        <f>0.65*ipc/ipc_base+0.35*fac_mano_obra*trm/trm_base</f>
        <v>1</v>
      </c>
      <c r="O36" s="262">
        <v>50344.887498914082</v>
      </c>
      <c r="P36" s="260">
        <v>44644018.179800093</v>
      </c>
    </row>
    <row r="37" spans="2:16" ht="15.75" thickBot="1">
      <c r="B37" s="789"/>
      <c r="C37" s="792"/>
      <c r="D37" s="239" t="s">
        <v>1073</v>
      </c>
      <c r="E37" s="258">
        <v>6000</v>
      </c>
      <c r="F37" s="213" t="s">
        <v>1018</v>
      </c>
      <c r="G37" s="241">
        <f>+H37/$H$3</f>
        <v>5.7403854272729502</v>
      </c>
      <c r="H37" s="262">
        <f t="shared" si="11"/>
        <v>25172.443749457041</v>
      </c>
      <c r="I37" s="241">
        <f>+G37*E37</f>
        <v>34442.312563637701</v>
      </c>
      <c r="J37" s="241">
        <f>+H37*E37</f>
        <v>151034662.49674225</v>
      </c>
      <c r="K37" s="260">
        <f t="shared" si="12"/>
        <v>41209862.93520008</v>
      </c>
      <c r="L37" s="432">
        <f t="shared" si="13"/>
        <v>9397.5975875699678</v>
      </c>
      <c r="M37" s="419">
        <f>+(ipc/ipc_base)</f>
        <v>1</v>
      </c>
      <c r="N37" s="421">
        <f>0.65*ipc/ipc_base+0.35*fac_mano_obra*trm/trm_base</f>
        <v>1</v>
      </c>
      <c r="O37" s="262">
        <v>25172.443749457041</v>
      </c>
      <c r="P37" s="260">
        <v>41209862.93520008</v>
      </c>
    </row>
    <row r="38" spans="2:16" ht="15.75" thickBot="1">
      <c r="B38" s="790"/>
      <c r="C38" s="793"/>
      <c r="D38" s="244" t="s">
        <v>1074</v>
      </c>
      <c r="E38" s="565">
        <v>3000</v>
      </c>
      <c r="F38" s="222" t="s">
        <v>1018</v>
      </c>
      <c r="G38" s="246">
        <f>+H38/$H$3</f>
        <v>4.3052890704547124</v>
      </c>
      <c r="H38" s="295">
        <f t="shared" si="11"/>
        <v>18879.33281209278</v>
      </c>
      <c r="I38" s="246">
        <f>+G38*E38</f>
        <v>12915.867211364137</v>
      </c>
      <c r="J38" s="246">
        <f>+H38*E38</f>
        <v>56637998.436278343</v>
      </c>
      <c r="K38" s="576">
        <f t="shared" si="12"/>
        <v>17661369.829371464</v>
      </c>
      <c r="L38" s="567">
        <f t="shared" si="13"/>
        <v>4027.5418232442721</v>
      </c>
      <c r="M38" s="418">
        <f>+(ipc/ipc_base)</f>
        <v>1</v>
      </c>
      <c r="N38" s="421">
        <f>0.65*ipc/ipc_base+0.35*fac_mano_obra*trm/trm_base</f>
        <v>1</v>
      </c>
      <c r="O38" s="295">
        <v>18879.33281209278</v>
      </c>
      <c r="P38" s="576">
        <v>17661369.829371464</v>
      </c>
    </row>
    <row r="39" spans="2:16">
      <c r="G39" s="250"/>
      <c r="H39" s="582">
        <f>SUM(H34:H38)</f>
        <v>497155.76405177655</v>
      </c>
      <c r="I39" s="583">
        <f>SUM(I34:I38)+L39</f>
        <v>301894.33025617764</v>
      </c>
      <c r="J39" s="582">
        <f>SUM(J34:J38)</f>
        <v>1048432282.1648856</v>
      </c>
      <c r="K39" s="582">
        <f>SUM(K34:K38)</f>
        <v>275419250.61692053</v>
      </c>
      <c r="L39" s="582">
        <f>SUM(L34:L38)</f>
        <v>62807.277210259293</v>
      </c>
      <c r="M39" s="413"/>
    </row>
    <row r="40" spans="2:16" ht="15.75" thickBot="1">
      <c r="G40" s="250"/>
      <c r="I40" s="250"/>
      <c r="J40" s="250"/>
      <c r="K40" s="121"/>
      <c r="L40" s="121"/>
      <c r="M40" s="413"/>
      <c r="O40" s="121"/>
      <c r="P40" s="121"/>
    </row>
    <row r="41" spans="2:16" ht="15" customHeight="1" thickBot="1">
      <c r="B41" s="788" t="s">
        <v>468</v>
      </c>
      <c r="C41" s="791" t="s">
        <v>469</v>
      </c>
      <c r="D41" s="234" t="s">
        <v>1075</v>
      </c>
      <c r="E41" s="561">
        <v>30</v>
      </c>
      <c r="F41" s="205" t="s">
        <v>984</v>
      </c>
      <c r="G41" s="236">
        <f>+H41/$H$3</f>
        <v>287.01927136364748</v>
      </c>
      <c r="H41" s="291">
        <f t="shared" ref="H41:H43" si="14">O41*M41</f>
        <v>1258622.1874728519</v>
      </c>
      <c r="I41" s="236">
        <f>+G41*E41</f>
        <v>8610.5781409094234</v>
      </c>
      <c r="J41" s="236">
        <f>+H41*E41</f>
        <v>37758665.624185562</v>
      </c>
      <c r="K41" s="573">
        <f t="shared" ref="K41:K43" si="15">P41*N41</f>
        <v>11774246.55291431</v>
      </c>
      <c r="L41" s="564">
        <f t="shared" ref="L41:L43" si="16">+K41/$H$3</f>
        <v>2685.0278821628485</v>
      </c>
      <c r="M41" s="417">
        <f>+(ipc/ipc_base)</f>
        <v>1</v>
      </c>
      <c r="N41" s="421">
        <f>0.65*ipc/ipc_base+0.35*fac_mano_obra*trm/trm_base</f>
        <v>1</v>
      </c>
      <c r="O41" s="291">
        <v>1258622.1874728519</v>
      </c>
      <c r="P41" s="573">
        <v>11774246.55291431</v>
      </c>
    </row>
    <row r="42" spans="2:16" ht="15.75" thickBot="1">
      <c r="B42" s="789"/>
      <c r="C42" s="792"/>
      <c r="D42" s="239" t="s">
        <v>1076</v>
      </c>
      <c r="E42" s="258">
        <v>30</v>
      </c>
      <c r="F42" s="213" t="s">
        <v>984</v>
      </c>
      <c r="G42" s="241">
        <f>+H42/$H$3</f>
        <v>344.42312563637699</v>
      </c>
      <c r="H42" s="262">
        <f t="shared" si="14"/>
        <v>1510346.6249674223</v>
      </c>
      <c r="I42" s="241">
        <f>+G42*E42</f>
        <v>10332.693769091309</v>
      </c>
      <c r="J42" s="241">
        <f>+H42*E42</f>
        <v>45310398.74902267</v>
      </c>
      <c r="K42" s="260">
        <f t="shared" si="15"/>
        <v>14129095.863497172</v>
      </c>
      <c r="L42" s="432">
        <f t="shared" si="16"/>
        <v>3222.0334585954179</v>
      </c>
      <c r="M42" s="419">
        <f>+(ipc/ipc_base)</f>
        <v>1</v>
      </c>
      <c r="N42" s="421">
        <f>0.65*ipc/ipc_base+0.35*fac_mano_obra*trm/trm_base</f>
        <v>1</v>
      </c>
      <c r="O42" s="262">
        <v>1510346.6249674223</v>
      </c>
      <c r="P42" s="260">
        <v>14129095.863497172</v>
      </c>
    </row>
    <row r="43" spans="2:16" ht="15.75" thickBot="1">
      <c r="B43" s="790"/>
      <c r="C43" s="793"/>
      <c r="D43" s="244" t="s">
        <v>1077</v>
      </c>
      <c r="E43" s="565">
        <v>1</v>
      </c>
      <c r="F43" s="222" t="s">
        <v>980</v>
      </c>
      <c r="G43" s="246">
        <f>+H43/$H$3</f>
        <v>2870.1927136364748</v>
      </c>
      <c r="H43" s="295">
        <f t="shared" si="14"/>
        <v>12586221.874728519</v>
      </c>
      <c r="I43" s="246">
        <f>+G43*E43</f>
        <v>2870.1927136364748</v>
      </c>
      <c r="J43" s="246">
        <f>+H43*E43</f>
        <v>12586221.874728519</v>
      </c>
      <c r="K43" s="576">
        <f t="shared" si="15"/>
        <v>3924748.8509714366</v>
      </c>
      <c r="L43" s="567">
        <f t="shared" si="16"/>
        <v>895.0092940542828</v>
      </c>
      <c r="M43" s="418">
        <f>+(ipc/ipc_base)</f>
        <v>1</v>
      </c>
      <c r="N43" s="421">
        <f>0.65*ipc/ipc_base+0.35*fac_mano_obra*trm/trm_base</f>
        <v>1</v>
      </c>
      <c r="O43" s="295">
        <v>12586221.874728519</v>
      </c>
      <c r="P43" s="576">
        <v>3924748.8509714366</v>
      </c>
    </row>
    <row r="44" spans="2:16">
      <c r="G44" s="250"/>
      <c r="H44" s="582">
        <f>SUM(H41:H43)</f>
        <v>15355190.687168794</v>
      </c>
      <c r="I44" s="583">
        <f>SUM(I41:I43)+L44</f>
        <v>28615.535258449756</v>
      </c>
      <c r="J44" s="582">
        <f>SUM(J41:J43)</f>
        <v>95655286.247936741</v>
      </c>
      <c r="K44" s="582">
        <f>SUM(K41:K43)</f>
        <v>29828091.26738292</v>
      </c>
      <c r="L44" s="582">
        <f>SUM(L41:L43)</f>
        <v>6802.0706348125486</v>
      </c>
      <c r="M44" s="413"/>
    </row>
    <row r="45" spans="2:16" ht="15.75" thickBot="1">
      <c r="G45" s="250"/>
      <c r="I45" s="250"/>
      <c r="J45" s="250"/>
      <c r="K45" s="265"/>
      <c r="L45" s="265"/>
      <c r="M45" s="413"/>
      <c r="O45" s="121"/>
      <c r="P45" s="265"/>
    </row>
    <row r="46" spans="2:16" ht="26.25" thickBot="1">
      <c r="B46" s="478" t="s">
        <v>470</v>
      </c>
      <c r="C46" s="479" t="s">
        <v>1078</v>
      </c>
      <c r="D46" s="568" t="s">
        <v>1079</v>
      </c>
      <c r="E46" s="569">
        <v>1</v>
      </c>
      <c r="F46" s="514" t="s">
        <v>984</v>
      </c>
      <c r="G46" s="516">
        <f>+H46/$H$3</f>
        <v>88646.329973147716</v>
      </c>
      <c r="H46" s="543">
        <f>O46*M46</f>
        <v>388727339.4993875</v>
      </c>
      <c r="I46" s="516">
        <f>+G46*E46</f>
        <v>88646.329973147716</v>
      </c>
      <c r="J46" s="516">
        <f>+H46*E46</f>
        <v>388727339.4993875</v>
      </c>
      <c r="K46" s="571">
        <f>P46*N46</f>
        <v>119214246.34825739</v>
      </c>
      <c r="L46" s="572">
        <f>+K46/$H$3</f>
        <v>27185.90730689884</v>
      </c>
      <c r="M46" s="421">
        <f>+(ppi_usa_gen_pot/ppi_usa_gen_pot_base)</f>
        <v>1</v>
      </c>
      <c r="N46" s="421">
        <f>0.65*ipc/ipc_base+0.35*fac_mano_obra*trm/trm_base</f>
        <v>1</v>
      </c>
      <c r="O46" s="543">
        <v>388727339.4993875</v>
      </c>
      <c r="P46" s="571">
        <v>119214246.34825739</v>
      </c>
    </row>
    <row r="47" spans="2:16" ht="15.75" thickBot="1">
      <c r="G47" s="250"/>
      <c r="I47" s="250"/>
      <c r="J47" s="250"/>
      <c r="K47" s="577"/>
      <c r="L47" s="265"/>
      <c r="M47" s="413"/>
      <c r="O47" s="121"/>
      <c r="P47" s="577"/>
    </row>
    <row r="48" spans="2:16" ht="15" customHeight="1" thickBot="1">
      <c r="B48" s="788" t="s">
        <v>472</v>
      </c>
      <c r="C48" s="791" t="s">
        <v>1080</v>
      </c>
      <c r="D48" s="234" t="s">
        <v>1081</v>
      </c>
      <c r="E48" s="561">
        <v>1</v>
      </c>
      <c r="F48" s="205" t="s">
        <v>984</v>
      </c>
      <c r="G48" s="236">
        <f>+H48/$H$3</f>
        <v>34442.312563637701</v>
      </c>
      <c r="H48" s="291">
        <f t="shared" ref="H48:H49" si="17">O48*M48</f>
        <v>151034662.49674225</v>
      </c>
      <c r="I48" s="236">
        <f>+G48*E48</f>
        <v>34442.312563637701</v>
      </c>
      <c r="J48" s="236">
        <f>+H48*E48</f>
        <v>151034662.49674225</v>
      </c>
      <c r="K48" s="573">
        <f t="shared" ref="K48:K49" si="18">P48*N48</f>
        <v>30907397.201400064</v>
      </c>
      <c r="L48" s="564">
        <f t="shared" ref="L48:L49" si="19">+K48/$H$3</f>
        <v>7048.1981906774772</v>
      </c>
      <c r="M48" s="417">
        <f>+(ipc/ipc_base)</f>
        <v>1</v>
      </c>
      <c r="N48" s="421">
        <f>0.65*ipc/ipc_base+0.35*fac_mano_obra*trm/trm_base</f>
        <v>1</v>
      </c>
      <c r="O48" s="291">
        <v>151034662.49674225</v>
      </c>
      <c r="P48" s="573">
        <v>30907397.201400064</v>
      </c>
    </row>
    <row r="49" spans="2:16" ht="15.75" thickBot="1">
      <c r="B49" s="790"/>
      <c r="C49" s="793"/>
      <c r="D49" s="244" t="s">
        <v>1082</v>
      </c>
      <c r="E49" s="565">
        <v>1</v>
      </c>
      <c r="F49" s="222" t="s">
        <v>984</v>
      </c>
      <c r="G49" s="246">
        <f>+H49/$H$3</f>
        <v>28701.927136364749</v>
      </c>
      <c r="H49" s="295">
        <f t="shared" si="17"/>
        <v>125862218.7472852</v>
      </c>
      <c r="I49" s="246">
        <f>+G49*E49</f>
        <v>28701.927136364749</v>
      </c>
      <c r="J49" s="246">
        <f>+H49*E49</f>
        <v>125862218.7472852</v>
      </c>
      <c r="K49" s="576">
        <f t="shared" si="18"/>
        <v>25756164.334500052</v>
      </c>
      <c r="L49" s="567">
        <f t="shared" si="19"/>
        <v>5873.4984922312306</v>
      </c>
      <c r="M49" s="418">
        <f>+(ipc/ipc_base)</f>
        <v>1</v>
      </c>
      <c r="N49" s="421">
        <f>0.65*ipc/ipc_base+0.35*fac_mano_obra*trm/trm_base</f>
        <v>1</v>
      </c>
      <c r="O49" s="295">
        <v>125862218.7472852</v>
      </c>
      <c r="P49" s="576">
        <v>25756164.334500052</v>
      </c>
    </row>
    <row r="50" spans="2:16">
      <c r="G50" s="250"/>
      <c r="H50" s="582">
        <f>SUM(H48:H49)</f>
        <v>276896881.24402744</v>
      </c>
      <c r="I50" s="583">
        <f>SUM(I48:I49)+L50</f>
        <v>76065.936382911153</v>
      </c>
      <c r="J50" s="582">
        <f>SUM(J48:J49)</f>
        <v>276896881.24402744</v>
      </c>
      <c r="K50" s="582">
        <f>SUM(K48:K49)</f>
        <v>56663561.535900116</v>
      </c>
      <c r="L50" s="582">
        <f>SUM(L48:L49)</f>
        <v>12921.696682908707</v>
      </c>
      <c r="M50" s="413"/>
    </row>
    <row r="51" spans="2:16" ht="15.75" thickBot="1">
      <c r="G51" s="250"/>
      <c r="I51" s="250"/>
      <c r="J51" s="250"/>
      <c r="K51" s="265"/>
      <c r="L51" s="265"/>
      <c r="M51" s="413"/>
      <c r="O51" s="121"/>
      <c r="P51" s="265"/>
    </row>
    <row r="52" spans="2:16" ht="41.25" thickBot="1">
      <c r="B52" s="478" t="s">
        <v>474</v>
      </c>
      <c r="C52" s="479" t="s">
        <v>1083</v>
      </c>
      <c r="D52" s="568" t="s">
        <v>1084</v>
      </c>
      <c r="E52" s="569">
        <v>1</v>
      </c>
      <c r="F52" s="514" t="s">
        <v>980</v>
      </c>
      <c r="G52" s="516">
        <f>+H52/$H$3</f>
        <v>129158.67211364137</v>
      </c>
      <c r="H52" s="543">
        <f>O52*M52</f>
        <v>566379984.36278343</v>
      </c>
      <c r="I52" s="516">
        <f>+G52*E52</f>
        <v>129158.67211364137</v>
      </c>
      <c r="J52" s="516">
        <f>+H52*E52</f>
        <v>566379984.36278343</v>
      </c>
      <c r="K52" s="571">
        <f>P52*N52</f>
        <v>137979451.79196456</v>
      </c>
      <c r="L52" s="572">
        <f>+K52/$H$3</f>
        <v>31465.170494095877</v>
      </c>
      <c r="M52" s="421">
        <f>+(ipc/ipc_base)</f>
        <v>1</v>
      </c>
      <c r="N52" s="421">
        <f>0.65*ipc/ipc_base+0.35*fac_mano_obra*trm/trm_base</f>
        <v>1</v>
      </c>
      <c r="O52" s="543">
        <v>566379984.36278343</v>
      </c>
      <c r="P52" s="571">
        <v>137979451.79196456</v>
      </c>
    </row>
    <row r="53" spans="2:16" ht="15.75" thickBot="1">
      <c r="K53" s="266"/>
      <c r="L53" s="266"/>
    </row>
    <row r="54" spans="2:16" ht="15.75" thickBot="1">
      <c r="E54" s="786" t="s">
        <v>1085</v>
      </c>
      <c r="F54" s="787"/>
      <c r="G54" s="787"/>
      <c r="H54" s="787"/>
      <c r="I54" s="578">
        <f>(SUM(I9:I12,I15:I31,I34:I38,I41:I43,I46:I49,I52)+(K54/H3))*ipc/ipc_base</f>
        <v>3699040.7183005507</v>
      </c>
      <c r="J54" s="579"/>
      <c r="K54" s="580">
        <f>SUM(K9:K12,K15:K31,K34:K38,K34:K38,K34:K38,K41:K43,K46:K49,K52)</f>
        <v>3374155646.540782</v>
      </c>
      <c r="L54" s="581">
        <f>SUM(L9:L12,L15:L31,L34:L38,L34:L38,L34:L38,L41:L43,L46:L49,L52)</f>
        <v>769450.67771464272</v>
      </c>
    </row>
    <row r="55" spans="2:16">
      <c r="K55" s="121"/>
    </row>
    <row r="56" spans="2:16">
      <c r="K56" s="121"/>
      <c r="L56" s="121"/>
      <c r="M56" s="121"/>
      <c r="N56" s="121"/>
      <c r="O56" s="121"/>
      <c r="P56" s="121"/>
    </row>
    <row r="57" spans="2:16">
      <c r="K57" s="121"/>
      <c r="L57" s="121"/>
      <c r="M57" s="121"/>
      <c r="N57" s="121"/>
      <c r="O57" s="121"/>
      <c r="P57" s="121"/>
    </row>
    <row r="58" spans="2:16">
      <c r="K58" s="121"/>
      <c r="L58" s="121"/>
      <c r="M58" s="121"/>
      <c r="N58" s="121"/>
      <c r="O58" s="121"/>
      <c r="P58" s="121"/>
    </row>
    <row r="59" spans="2:16">
      <c r="K59" s="121"/>
      <c r="L59" s="121"/>
      <c r="M59" s="121"/>
      <c r="N59" s="121"/>
      <c r="O59" s="121"/>
      <c r="P59" s="121"/>
    </row>
    <row r="60" spans="2:16">
      <c r="K60" s="121"/>
      <c r="L60" s="121"/>
      <c r="M60" s="121"/>
      <c r="N60" s="121"/>
      <c r="O60" s="121"/>
      <c r="P60" s="121"/>
    </row>
    <row r="61" spans="2:16">
      <c r="K61" s="121"/>
      <c r="L61" s="121"/>
      <c r="M61" s="121"/>
      <c r="N61" s="121"/>
      <c r="O61" s="121"/>
      <c r="P61" s="121"/>
    </row>
  </sheetData>
  <sheetProtection algorithmName="SHA-512" hashValue="zIPtOfwAATddNWf5yIUMjpRGSyX0lbD7yBpff5bBi17ytG9u5KeKwAnWv+9GuHY/+PpifffGTdVCAMPz3HEdGA==" saltValue="xTHYMWgSMcTJPpXbg6f9vQ==" spinCount="100000"/>
  <mergeCells count="12">
    <mergeCell ref="B9:B12"/>
    <mergeCell ref="C9:C12"/>
    <mergeCell ref="B23:B31"/>
    <mergeCell ref="C23:C28"/>
    <mergeCell ref="C29:C31"/>
    <mergeCell ref="E54:H54"/>
    <mergeCell ref="B34:B38"/>
    <mergeCell ref="C34:C38"/>
    <mergeCell ref="B41:B43"/>
    <mergeCell ref="C41:C43"/>
    <mergeCell ref="B48:B49"/>
    <mergeCell ref="C48:C49"/>
  </mergeCells>
  <pageMargins left="0.7" right="0.7" top="0.75" bottom="0.75" header="0.51180555555555496" footer="0.51180555555555496"/>
  <pageSetup firstPageNumber="0" orientation="portrait"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2">
    <tabColor theme="5" tint="0.59999389629810485"/>
  </sheetPr>
  <dimension ref="C2:U13"/>
  <sheetViews>
    <sheetView showGridLines="0" showRowColHeaders="0" topLeftCell="P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4.85546875" customWidth="1"/>
    <col min="2" max="2" width="4.7109375" customWidth="1"/>
    <col min="3" max="3" width="8.42578125" customWidth="1"/>
    <col min="4" max="4" width="40.42578125" customWidth="1"/>
    <col min="5" max="8" width="15.42578125" customWidth="1"/>
    <col min="9" max="9" width="10" customWidth="1"/>
    <col min="10" max="10" width="9" customWidth="1"/>
    <col min="11" max="11" width="8.42578125" customWidth="1"/>
    <col min="12" max="12" width="17.140625" customWidth="1"/>
    <col min="13" max="13" width="20.7109375" customWidth="1"/>
    <col min="14" max="14" width="18" customWidth="1"/>
    <col min="15" max="15" width="22" customWidth="1"/>
    <col min="16" max="17" width="19.42578125" customWidth="1"/>
    <col min="18" max="18" width="12" customWidth="1"/>
    <col min="19" max="19" width="14.7109375" customWidth="1"/>
    <col min="20" max="20" width="18.28515625" bestFit="1" customWidth="1"/>
    <col min="21" max="21" width="17.28515625" bestFit="1" customWidth="1"/>
    <col min="22" max="1026" width="8.42578125" customWidth="1"/>
  </cols>
  <sheetData>
    <row r="2" spans="3:21" ht="13.5" thickBot="1"/>
    <row r="3" spans="3:21" ht="13.5" thickBot="1">
      <c r="L3" s="15" t="s">
        <v>129</v>
      </c>
      <c r="M3" s="423">
        <f>trm</f>
        <v>4385.1487096774199</v>
      </c>
    </row>
    <row r="4" spans="3:21" ht="13.5" thickBot="1"/>
    <row r="5" spans="3:21" ht="43.35" customHeight="1" thickBot="1">
      <c r="C5" s="195"/>
      <c r="D5" s="195" t="s">
        <v>1025</v>
      </c>
      <c r="E5" s="796" t="s">
        <v>968</v>
      </c>
      <c r="F5" s="796"/>
      <c r="G5" s="796"/>
      <c r="H5" s="796"/>
      <c r="I5" s="196" t="s">
        <v>969</v>
      </c>
      <c r="J5" s="196" t="s">
        <v>970</v>
      </c>
      <c r="K5" s="196" t="s">
        <v>715</v>
      </c>
      <c r="L5" s="196" t="s">
        <v>971</v>
      </c>
      <c r="M5" s="196" t="s">
        <v>972</v>
      </c>
      <c r="N5" s="196" t="s">
        <v>973</v>
      </c>
      <c r="O5" s="197" t="s">
        <v>974</v>
      </c>
      <c r="P5" s="197" t="s">
        <v>1008</v>
      </c>
      <c r="Q5" s="197" t="s">
        <v>1086</v>
      </c>
      <c r="R5" s="477" t="s">
        <v>961</v>
      </c>
      <c r="S5" s="197" t="s">
        <v>962</v>
      </c>
      <c r="T5" s="196" t="s">
        <v>976</v>
      </c>
      <c r="U5" s="197" t="s">
        <v>1087</v>
      </c>
    </row>
    <row r="6" spans="3:21" ht="13.5" thickBot="1"/>
    <row r="7" spans="3:21" ht="20.25" customHeight="1" thickBot="1">
      <c r="C7" s="18">
        <v>2.6</v>
      </c>
      <c r="D7" s="18" t="s">
        <v>476</v>
      </c>
      <c r="E7" s="198"/>
      <c r="F7" s="198"/>
      <c r="G7" s="198"/>
      <c r="H7" s="198"/>
      <c r="I7" s="198"/>
      <c r="J7" s="198"/>
      <c r="K7" s="198"/>
      <c r="L7" s="198"/>
      <c r="M7" s="198"/>
      <c r="N7" s="198"/>
      <c r="O7" s="198"/>
      <c r="T7" s="198"/>
    </row>
    <row r="8" spans="3:21" ht="93" customHeight="1" thickBot="1">
      <c r="C8" s="201" t="s">
        <v>477</v>
      </c>
      <c r="D8" s="268" t="s">
        <v>478</v>
      </c>
      <c r="E8" s="797" t="s">
        <v>1088</v>
      </c>
      <c r="F8" s="797"/>
      <c r="G8" s="797"/>
      <c r="H8" s="797"/>
      <c r="I8" s="203">
        <v>1</v>
      </c>
      <c r="J8" s="204">
        <v>1</v>
      </c>
      <c r="K8" s="205" t="s">
        <v>980</v>
      </c>
      <c r="L8" s="206">
        <f>M8/$M$3</f>
        <v>4736107.4580075955</v>
      </c>
      <c r="M8" s="207">
        <f>T8*R8</f>
        <v>20768535508.375614</v>
      </c>
      <c r="N8" s="424">
        <f>(L8*J8*I8)</f>
        <v>4736107.4580075955</v>
      </c>
      <c r="O8" s="208">
        <f>+N8*$M$3</f>
        <v>20768535508.375614</v>
      </c>
      <c r="P8" s="427">
        <f>U8*S8</f>
        <v>0</v>
      </c>
      <c r="Q8" s="208">
        <f>+P8/M$3</f>
        <v>0</v>
      </c>
      <c r="R8" s="421">
        <f>ppi_usa_inst_control/ppi_usa_inst_control_base*(trm/trm_base)</f>
        <v>1</v>
      </c>
      <c r="S8" s="421">
        <f>0.65*ipc/ipc_base+0.35*fac_mano_obra*trm/trm_base</f>
        <v>1</v>
      </c>
      <c r="T8" s="207">
        <v>20768535508.375614</v>
      </c>
      <c r="U8" s="427">
        <v>0</v>
      </c>
    </row>
    <row r="9" spans="3:21" ht="54.6" customHeight="1" thickBot="1">
      <c r="C9" s="209" t="s">
        <v>479</v>
      </c>
      <c r="D9" s="269" t="s">
        <v>480</v>
      </c>
      <c r="E9" s="798" t="s">
        <v>1089</v>
      </c>
      <c r="F9" s="798"/>
      <c r="G9" s="798"/>
      <c r="H9" s="798"/>
      <c r="I9" s="211">
        <v>1</v>
      </c>
      <c r="J9" s="212">
        <v>1</v>
      </c>
      <c r="K9" s="213" t="s">
        <v>984</v>
      </c>
      <c r="L9" s="214">
        <f>M9/$M$3</f>
        <v>200972.98094834868</v>
      </c>
      <c r="M9" s="215">
        <f t="shared" ref="M9:M12" si="0">T9*R9</f>
        <v>881296408.08567584</v>
      </c>
      <c r="N9" s="425">
        <f>(L9*J9*I9)</f>
        <v>200972.98094834868</v>
      </c>
      <c r="O9" s="216">
        <f>+N9*$M$3</f>
        <v>881296408.08567584</v>
      </c>
      <c r="P9" s="428">
        <f t="shared" ref="P9:P12" si="1">U9*S9</f>
        <v>197770547.56848255</v>
      </c>
      <c r="Q9" s="216">
        <f>+P9/M$3</f>
        <v>45100.077708204095</v>
      </c>
      <c r="R9" s="421">
        <f>ppi_usa_inst_control/ppi_usa_inst_control_base*(trm/trm_base)</f>
        <v>1</v>
      </c>
      <c r="S9" s="421">
        <f>0.65*ipc/ipc_base+0.35*fac_mano_obra*trm/trm_base</f>
        <v>1</v>
      </c>
      <c r="T9" s="215">
        <v>881296408.08567584</v>
      </c>
      <c r="U9" s="428">
        <v>197770547.56848255</v>
      </c>
    </row>
    <row r="10" spans="3:21" ht="35.85" customHeight="1" thickBot="1">
      <c r="C10" s="209" t="s">
        <v>481</v>
      </c>
      <c r="D10" s="269" t="s">
        <v>482</v>
      </c>
      <c r="E10" s="798" t="s">
        <v>1090</v>
      </c>
      <c r="F10" s="798"/>
      <c r="G10" s="798"/>
      <c r="H10" s="798"/>
      <c r="I10" s="211">
        <v>1</v>
      </c>
      <c r="J10" s="212">
        <v>1</v>
      </c>
      <c r="K10" s="213" t="s">
        <v>980</v>
      </c>
      <c r="L10" s="214">
        <f>M10/$M$3</f>
        <v>1402137.076383828</v>
      </c>
      <c r="M10" s="215">
        <f t="shared" si="0"/>
        <v>6148579591.295413</v>
      </c>
      <c r="N10" s="425">
        <f>(L10*J10*I10)</f>
        <v>1402137.076383828</v>
      </c>
      <c r="O10" s="216">
        <f>+N10*$M$3</f>
        <v>6148579591.295413</v>
      </c>
      <c r="P10" s="428">
        <f t="shared" si="1"/>
        <v>1324602737.2028599</v>
      </c>
      <c r="Q10" s="216">
        <f>+P10/M$3</f>
        <v>302065.63674332044</v>
      </c>
      <c r="R10" s="421">
        <f>ppi_usa_inst_control/ppi_usa_inst_control_base*(trm/trm_base)</f>
        <v>1</v>
      </c>
      <c r="S10" s="421">
        <f>0.65*ipc/ipc_base+0.35*fac_mano_obra*trm/trm_base</f>
        <v>1</v>
      </c>
      <c r="T10" s="215">
        <v>6148579591.295413</v>
      </c>
      <c r="U10" s="428">
        <v>1324602737.2028599</v>
      </c>
    </row>
    <row r="11" spans="3:21" ht="45.75" customHeight="1" thickBot="1">
      <c r="C11" s="209" t="s">
        <v>483</v>
      </c>
      <c r="D11" s="269" t="s">
        <v>484</v>
      </c>
      <c r="E11" s="798" t="s">
        <v>1091</v>
      </c>
      <c r="F11" s="798"/>
      <c r="G11" s="798"/>
      <c r="H11" s="798"/>
      <c r="I11" s="211">
        <v>1</v>
      </c>
      <c r="J11" s="212">
        <v>1</v>
      </c>
      <c r="K11" s="213" t="s">
        <v>984</v>
      </c>
      <c r="L11" s="214">
        <f>M11/$M$3</f>
        <v>302238.43646495842</v>
      </c>
      <c r="M11" s="215">
        <f t="shared" si="0"/>
        <v>1325360489.6792333</v>
      </c>
      <c r="N11" s="425">
        <f>(L11*J11*I11)</f>
        <v>302238.43646495842</v>
      </c>
      <c r="O11" s="216">
        <f>+N11*$M$3</f>
        <v>1325360489.6792333</v>
      </c>
      <c r="P11" s="428">
        <f t="shared" si="1"/>
        <v>321216163.77169353</v>
      </c>
      <c r="Q11" s="216">
        <f>+P11/M$3</f>
        <v>73250.916910255211</v>
      </c>
      <c r="R11" s="421">
        <f>ppi_usa_inst_control/ppi_usa_inst_control_base*(trm/trm_base)</f>
        <v>1</v>
      </c>
      <c r="S11" s="421">
        <f>0.65*ipc/ipc_base+0.35*fac_mano_obra*trm/trm_base</f>
        <v>1</v>
      </c>
      <c r="T11" s="215">
        <v>1325360489.6792333</v>
      </c>
      <c r="U11" s="428">
        <v>321216163.77169353</v>
      </c>
    </row>
    <row r="12" spans="3:21" ht="43.5" customHeight="1" thickBot="1">
      <c r="C12" s="218" t="s">
        <v>1092</v>
      </c>
      <c r="D12" s="270" t="s">
        <v>1093</v>
      </c>
      <c r="E12" s="794" t="s">
        <v>1094</v>
      </c>
      <c r="F12" s="794"/>
      <c r="G12" s="794"/>
      <c r="H12" s="794"/>
      <c r="I12" s="220">
        <v>1</v>
      </c>
      <c r="J12" s="221">
        <v>1</v>
      </c>
      <c r="K12" s="222" t="s">
        <v>980</v>
      </c>
      <c r="L12" s="223">
        <f>M12/$M$3</f>
        <v>286035.96358230087</v>
      </c>
      <c r="M12" s="224">
        <f t="shared" si="0"/>
        <v>1254310236.6242642</v>
      </c>
      <c r="N12" s="426">
        <f>(L12*J12*I12)</f>
        <v>286035.96358230087</v>
      </c>
      <c r="O12" s="225">
        <f>+N12*$M$3</f>
        <v>1254310236.6242642</v>
      </c>
      <c r="P12" s="429">
        <f t="shared" si="1"/>
        <v>292737204.92183203</v>
      </c>
      <c r="Q12" s="225">
        <f>+P12/M$3</f>
        <v>66756.50572027381</v>
      </c>
      <c r="R12" s="421">
        <f>ppi_usa_inst_control/ppi_usa_inst_control_base*(trm/trm_base)</f>
        <v>1</v>
      </c>
      <c r="S12" s="421">
        <f>0.65*ipc/ipc_base+0.35*fac_mano_obra*trm/trm_base</f>
        <v>1</v>
      </c>
      <c r="T12" s="224">
        <v>1254310236.6242642</v>
      </c>
      <c r="U12" s="429">
        <v>292737204.92183203</v>
      </c>
    </row>
    <row r="13" spans="3:21" ht="24.6" customHeight="1" thickBot="1">
      <c r="C13" s="188"/>
      <c r="D13" s="188"/>
      <c r="E13" s="188"/>
      <c r="F13" s="188"/>
      <c r="G13" s="188"/>
      <c r="H13" s="188"/>
      <c r="I13" s="795" t="s">
        <v>1095</v>
      </c>
      <c r="J13" s="795"/>
      <c r="K13" s="795"/>
      <c r="L13" s="795"/>
      <c r="M13" s="795"/>
      <c r="N13" s="401">
        <f>(SUM(N8:N12))</f>
        <v>6927491.9153870316</v>
      </c>
      <c r="O13" s="272">
        <f>SUM(O8:O12)</f>
        <v>30378082234.0602</v>
      </c>
      <c r="P13" s="272">
        <f>SUM(P8:P12)</f>
        <v>2136326653.4648681</v>
      </c>
    </row>
  </sheetData>
  <sheetProtection algorithmName="SHA-512" hashValue="o/RQEkORN4dZ8+6YZOF5lQoSxVqXRyLRLixPf4hKP7PdXVMsXfMHtsBjIP7GCVI4dhFCLcApUzSXUjiIkLm9Hw==" saltValue="BuPsnon/I2td1top+MXC5A==" spinCount="100000"/>
  <mergeCells count="7">
    <mergeCell ref="E12:H12"/>
    <mergeCell ref="I13:M13"/>
    <mergeCell ref="E5:H5"/>
    <mergeCell ref="E8:H8"/>
    <mergeCell ref="E9:H9"/>
    <mergeCell ref="E10:H10"/>
    <mergeCell ref="E11:H11"/>
  </mergeCells>
  <pageMargins left="0.7" right="0.7" top="0.75" bottom="0.75" header="0.51180555555555496" footer="0.51180555555555496"/>
  <pageSetup firstPageNumber="0" orientation="portrait"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33">
    <tabColor theme="5" tint="0.59999389629810485"/>
  </sheetPr>
  <dimension ref="B2:N41"/>
  <sheetViews>
    <sheetView showGridLines="0" showRowColHeaders="0" topLeftCell="E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39" customWidth="1"/>
    <col min="4" max="4" width="70.140625" style="121" customWidth="1"/>
    <col min="5" max="5" width="11.140625" style="121" customWidth="1"/>
    <col min="6" max="6" width="10.140625" style="121" customWidth="1"/>
    <col min="7" max="7" width="8.42578125" style="121" customWidth="1"/>
    <col min="8" max="8" width="16.28515625" style="121" customWidth="1"/>
    <col min="9" max="9" width="16" style="121" customWidth="1"/>
    <col min="10" max="10" width="17.7109375" style="121" customWidth="1"/>
    <col min="11" max="11" width="19.42578125" style="121" customWidth="1"/>
    <col min="12" max="12" width="28" customWidth="1"/>
    <col min="13" max="13" width="12.85546875" customWidth="1"/>
    <col min="14" max="14" width="13.42578125" bestFit="1" customWidth="1"/>
    <col min="15" max="1025" width="8.42578125" customWidth="1"/>
  </cols>
  <sheetData>
    <row r="2" spans="2:14" ht="13.5" thickBot="1">
      <c r="K2"/>
    </row>
    <row r="3" spans="2:14" ht="13.5" thickBot="1">
      <c r="G3" s="228"/>
      <c r="H3" s="195" t="s">
        <v>129</v>
      </c>
      <c r="I3" s="422">
        <f>trm</f>
        <v>4385.1487096774199</v>
      </c>
      <c r="K3"/>
    </row>
    <row r="4" spans="2:14" ht="13.5" thickBot="1"/>
    <row r="5" spans="2:14" s="273" customFormat="1" ht="39" customHeight="1" thickBot="1">
      <c r="C5" s="271" t="s">
        <v>1025</v>
      </c>
      <c r="D5" s="552" t="s">
        <v>968</v>
      </c>
      <c r="E5" s="552" t="s">
        <v>969</v>
      </c>
      <c r="F5" s="552" t="s">
        <v>970</v>
      </c>
      <c r="G5" s="552" t="s">
        <v>715</v>
      </c>
      <c r="H5" s="552" t="s">
        <v>971</v>
      </c>
      <c r="I5" s="552" t="s">
        <v>972</v>
      </c>
      <c r="J5" s="552" t="s">
        <v>973</v>
      </c>
      <c r="K5" s="552" t="s">
        <v>974</v>
      </c>
      <c r="L5" s="553" t="s">
        <v>1096</v>
      </c>
      <c r="M5" s="502" t="s">
        <v>1022</v>
      </c>
      <c r="N5" s="552" t="s">
        <v>972</v>
      </c>
    </row>
    <row r="6" spans="2:14">
      <c r="N6" s="121"/>
    </row>
    <row r="7" spans="2:14">
      <c r="K7" s="230"/>
      <c r="N7" s="121"/>
    </row>
    <row r="8" spans="2:14" ht="15">
      <c r="B8">
        <v>2.7</v>
      </c>
      <c r="C8" s="252" t="s">
        <v>485</v>
      </c>
      <c r="K8" s="230"/>
      <c r="N8" s="121"/>
    </row>
    <row r="9" spans="2:14" ht="13.5" thickBot="1">
      <c r="K9" s="230"/>
      <c r="N9" s="121"/>
    </row>
    <row r="10" spans="2:14" ht="117" customHeight="1" thickBot="1">
      <c r="B10" s="554" t="s">
        <v>486</v>
      </c>
      <c r="C10" s="541" t="s">
        <v>487</v>
      </c>
      <c r="D10" s="542" t="s">
        <v>1097</v>
      </c>
      <c r="E10" s="514">
        <v>1</v>
      </c>
      <c r="F10" s="515">
        <v>1800</v>
      </c>
      <c r="G10" s="514" t="s">
        <v>1018</v>
      </c>
      <c r="H10" s="516">
        <f>+I10/$I$3</f>
        <v>140.96396381354955</v>
      </c>
      <c r="I10" s="555">
        <f>N10*M10</f>
        <v>618147.94402800128</v>
      </c>
      <c r="J10" s="516">
        <f>+H10*F10*E10*'Modelo Caudal - PIPING'!C8</f>
        <v>75299.822528453835</v>
      </c>
      <c r="K10" s="516">
        <f>+I10*F10*E10*'Modelo Caudal - PIPING'!C8</f>
        <v>330200919.59958798</v>
      </c>
      <c r="L10" s="523" t="s">
        <v>1098</v>
      </c>
      <c r="M10" s="421">
        <f>0.65*ipc/ipc_base+0.35*fac_mano_obra*trm/trm_base</f>
        <v>1</v>
      </c>
      <c r="N10" s="555">
        <v>618147.94402800128</v>
      </c>
    </row>
    <row r="11" spans="2:14" ht="15.75" thickBot="1">
      <c r="H11" s="250"/>
      <c r="J11" s="250"/>
      <c r="K11" s="250"/>
      <c r="N11" s="121"/>
    </row>
    <row r="12" spans="2:14" s="250" customFormat="1" ht="45" customHeight="1" thickBot="1">
      <c r="B12" s="800" t="s">
        <v>488</v>
      </c>
      <c r="C12" s="802" t="s">
        <v>489</v>
      </c>
      <c r="D12" s="556" t="s">
        <v>1099</v>
      </c>
      <c r="E12" s="205">
        <v>1</v>
      </c>
      <c r="F12" s="235">
        <f>4*5</f>
        <v>20</v>
      </c>
      <c r="G12" s="205" t="s">
        <v>1100</v>
      </c>
      <c r="H12" s="236">
        <f>+I12/$I$3</f>
        <v>926.33461934618265</v>
      </c>
      <c r="I12" s="237">
        <f t="shared" ref="I12:I13" si="0">N12*M12</f>
        <v>4062115.0607554368</v>
      </c>
      <c r="J12" s="236">
        <f>+H12*F12*E12*'Modelo Caudal - PIPING'!C8</f>
        <v>5498.0822798553581</v>
      </c>
      <c r="K12" s="236">
        <f>+I12*F12*E12*'Modelo Caudal - PIPING'!C8</f>
        <v>24109908.415208016</v>
      </c>
      <c r="L12" s="545" t="s">
        <v>1098</v>
      </c>
      <c r="M12" s="421">
        <f>0.65*ipc/ipc_base+0.35*fac_mano_obra*trm/trm_base</f>
        <v>1</v>
      </c>
      <c r="N12" s="237">
        <v>4062115.0607554368</v>
      </c>
    </row>
    <row r="13" spans="2:14" s="250" customFormat="1" ht="60.75" thickBot="1">
      <c r="B13" s="801"/>
      <c r="C13" s="803"/>
      <c r="D13" s="557" t="s">
        <v>1101</v>
      </c>
      <c r="E13" s="222">
        <v>6</v>
      </c>
      <c r="F13" s="245">
        <f>1.7*1.7*2</f>
        <v>5.7799999999999994</v>
      </c>
      <c r="G13" s="222" t="s">
        <v>1100</v>
      </c>
      <c r="H13" s="246">
        <f>+I13/$I$3</f>
        <v>872.63406170292569</v>
      </c>
      <c r="I13" s="247">
        <f t="shared" si="0"/>
        <v>3826630.1296971506</v>
      </c>
      <c r="J13" s="246">
        <f>+H13*F13*E13*'Modelo Caudal - PIPING'!C8</f>
        <v>8980.9978806159033</v>
      </c>
      <c r="K13" s="246">
        <f>+I13*F13*E13*'Modelo Caudal - PIPING'!C8</f>
        <v>39383011.267798476</v>
      </c>
      <c r="L13" s="547" t="s">
        <v>1098</v>
      </c>
      <c r="M13" s="421">
        <f>0.65*ipc/ipc_base+0.35*fac_mano_obra*trm/trm_base</f>
        <v>1</v>
      </c>
      <c r="N13" s="247">
        <v>3826630.1296971506</v>
      </c>
    </row>
    <row r="14" spans="2:14" s="250" customFormat="1" ht="15">
      <c r="C14"/>
      <c r="D14" s="121"/>
      <c r="E14" s="121"/>
      <c r="F14" s="121"/>
      <c r="G14" s="121"/>
      <c r="H14" s="121"/>
      <c r="I14" s="121"/>
      <c r="J14" s="558">
        <f>SUM(J12:J13)</f>
        <v>14479.080160471261</v>
      </c>
      <c r="K14" s="558">
        <f>SUM(K12:K13)</f>
        <v>63492919.683006495</v>
      </c>
      <c r="N14" s="121"/>
    </row>
    <row r="15" spans="2:14" s="250" customFormat="1" ht="15.75" thickBot="1">
      <c r="C15"/>
      <c r="D15" s="121"/>
      <c r="E15" s="121"/>
      <c r="F15" s="121"/>
      <c r="G15" s="121"/>
      <c r="H15" s="121"/>
      <c r="I15" s="121"/>
      <c r="N15" s="121"/>
    </row>
    <row r="16" spans="2:14" s="250" customFormat="1" ht="30.75" thickBot="1">
      <c r="B16" s="554" t="s">
        <v>490</v>
      </c>
      <c r="C16" s="541" t="s">
        <v>491</v>
      </c>
      <c r="D16" s="542" t="s">
        <v>1102</v>
      </c>
      <c r="E16" s="514">
        <v>1</v>
      </c>
      <c r="F16" s="515">
        <v>1800</v>
      </c>
      <c r="G16" s="514" t="s">
        <v>1018</v>
      </c>
      <c r="H16" s="516">
        <f>+I16/$I$3</f>
        <v>48.945820768593585</v>
      </c>
      <c r="I16" s="555">
        <f>N16*M16</f>
        <v>214634.70278750043</v>
      </c>
      <c r="J16" s="516">
        <f>+H16*F16*E16*'Modelo Caudal - PIPING'!C8</f>
        <v>26145.771711268684</v>
      </c>
      <c r="K16" s="516">
        <f>+I16*F16*E16*'Modelo Caudal - PIPING'!C8</f>
        <v>114653097.08319028</v>
      </c>
      <c r="L16" s="523" t="s">
        <v>1098</v>
      </c>
      <c r="M16" s="421">
        <f>0.65*ipc/ipc_base+0.35*fac_mano_obra*trm/trm_base</f>
        <v>1</v>
      </c>
      <c r="N16" s="555">
        <v>214634.70278750043</v>
      </c>
    </row>
    <row r="17" spans="2:14" s="250" customFormat="1" ht="15.75" thickBot="1">
      <c r="C17"/>
      <c r="D17" s="121"/>
      <c r="E17" s="121"/>
      <c r="F17" s="121"/>
      <c r="G17" s="121"/>
      <c r="H17" s="559"/>
      <c r="I17" s="121"/>
      <c r="J17" s="559"/>
      <c r="K17" s="559"/>
      <c r="N17" s="121"/>
    </row>
    <row r="18" spans="2:14" s="250" customFormat="1" ht="60.75" thickBot="1">
      <c r="B18" s="554" t="s">
        <v>492</v>
      </c>
      <c r="C18" s="541" t="s">
        <v>493</v>
      </c>
      <c r="D18" s="542" t="s">
        <v>1103</v>
      </c>
      <c r="E18" s="514">
        <v>1</v>
      </c>
      <c r="F18" s="515">
        <v>1</v>
      </c>
      <c r="G18" s="514" t="s">
        <v>980</v>
      </c>
      <c r="H18" s="516">
        <f>+I18/$I$3</f>
        <v>104883.90164698627</v>
      </c>
      <c r="I18" s="555">
        <f>N18*M18</f>
        <v>459931505.97321522</v>
      </c>
      <c r="J18" s="516">
        <f>+H18*F18*E18*'Modelo Caudal - PIPING'!C8</f>
        <v>31125.918703891301</v>
      </c>
      <c r="K18" s="516">
        <f>+I18*F18*E18*'Modelo Caudal - PIPING'!C8</f>
        <v>136491782.2418932</v>
      </c>
      <c r="L18" s="523" t="s">
        <v>1098</v>
      </c>
      <c r="M18" s="421">
        <f>0.65*ipc/ipc_base+0.35*fac_mano_obra*trm/trm_base</f>
        <v>1</v>
      </c>
      <c r="N18" s="555">
        <v>459931505.97321522</v>
      </c>
    </row>
    <row r="19" spans="2:14" s="250" customFormat="1" ht="15.75" thickBot="1">
      <c r="D19" s="121"/>
      <c r="E19" s="121"/>
      <c r="F19" s="121"/>
      <c r="G19" s="121"/>
      <c r="H19" s="559"/>
      <c r="I19" s="121"/>
      <c r="J19" s="559"/>
      <c r="K19" s="559"/>
      <c r="N19" s="121"/>
    </row>
    <row r="20" spans="2:14" s="250" customFormat="1" ht="90.75" thickBot="1">
      <c r="B20" s="554" t="s">
        <v>494</v>
      </c>
      <c r="C20" s="541" t="s">
        <v>495</v>
      </c>
      <c r="D20" s="542" t="s">
        <v>1104</v>
      </c>
      <c r="E20" s="514">
        <v>1</v>
      </c>
      <c r="F20" s="515">
        <v>264</v>
      </c>
      <c r="G20" s="514" t="s">
        <v>1100</v>
      </c>
      <c r="H20" s="516">
        <f>+I20/$I$3</f>
        <v>1443.2024866625311</v>
      </c>
      <c r="I20" s="555">
        <f>N20*M20</f>
        <v>6328657.5221914416</v>
      </c>
      <c r="J20" s="516">
        <f>+H20*F20*E20*'Modelo Caudal - PIPING'!C8</f>
        <v>113069.25732050369</v>
      </c>
      <c r="K20" s="516">
        <f>+I20*F20*E20*'Modelo Caudal - PIPING'!C8</f>
        <v>495825507.84319091</v>
      </c>
      <c r="L20" s="523" t="s">
        <v>1098</v>
      </c>
      <c r="M20" s="421">
        <f>0.65*ipc/ipc_base+0.35*fac_mano_obra*trm/trm_base</f>
        <v>1</v>
      </c>
      <c r="N20" s="555">
        <v>6328657.5221914416</v>
      </c>
    </row>
    <row r="21" spans="2:14" s="250" customFormat="1" ht="15">
      <c r="D21" s="121"/>
      <c r="E21" s="121"/>
      <c r="F21" s="121"/>
      <c r="G21" s="121"/>
      <c r="H21" s="121"/>
      <c r="I21" s="121"/>
      <c r="J21" s="121"/>
      <c r="K21" s="230"/>
    </row>
    <row r="22" spans="2:14" s="250" customFormat="1" ht="15">
      <c r="D22" s="121"/>
      <c r="E22" s="121"/>
      <c r="F22" s="121"/>
      <c r="G22" s="121"/>
      <c r="H22" s="121"/>
      <c r="I22" s="121"/>
      <c r="J22" s="121"/>
      <c r="K22" s="230"/>
    </row>
    <row r="23" spans="2:14" s="250" customFormat="1" ht="15.75">
      <c r="C23"/>
      <c r="D23" s="121"/>
      <c r="E23" s="121"/>
      <c r="F23" s="804" t="s">
        <v>1105</v>
      </c>
      <c r="G23" s="804"/>
      <c r="H23" s="804"/>
      <c r="I23" s="804"/>
      <c r="J23" s="274">
        <f>SUM(J10:J20)</f>
        <v>274598.93058506004</v>
      </c>
      <c r="K23" s="274">
        <f>SUM(K10:K20)</f>
        <v>1204157146.1338754</v>
      </c>
    </row>
    <row r="24" spans="2:14" s="250" customFormat="1" ht="15">
      <c r="D24" s="121"/>
      <c r="E24" s="121"/>
      <c r="F24" s="121"/>
      <c r="G24" s="121"/>
      <c r="H24" s="121"/>
      <c r="J24" s="275"/>
      <c r="K24" s="400"/>
    </row>
    <row r="25" spans="2:14" s="250" customFormat="1" ht="15">
      <c r="D25" s="121"/>
      <c r="E25" s="121"/>
      <c r="F25" s="121"/>
      <c r="G25" s="121"/>
      <c r="H25" s="121"/>
      <c r="I25" s="121"/>
      <c r="J25" s="121"/>
      <c r="K25" s="230"/>
    </row>
    <row r="26" spans="2:14" s="250" customFormat="1" ht="15">
      <c r="E26" s="121"/>
      <c r="F26" s="121"/>
      <c r="G26" s="121"/>
      <c r="H26" s="121"/>
      <c r="I26" s="121"/>
      <c r="J26" s="121"/>
      <c r="K26" s="230"/>
    </row>
    <row r="27" spans="2:14" s="250" customFormat="1" ht="15">
      <c r="D27" s="121"/>
      <c r="E27" s="121"/>
      <c r="F27" s="121"/>
      <c r="G27" s="121"/>
      <c r="H27" s="121"/>
      <c r="I27" s="121"/>
      <c r="J27" s="121"/>
      <c r="K27" s="230"/>
    </row>
    <row r="28" spans="2:14" s="250" customFormat="1" ht="15">
      <c r="D28" s="121"/>
      <c r="E28" s="121"/>
      <c r="F28" s="121"/>
      <c r="G28" s="121"/>
      <c r="H28" s="799"/>
      <c r="I28" s="799"/>
      <c r="J28" s="799"/>
      <c r="K28" s="799"/>
    </row>
    <row r="32" spans="2:14" ht="15">
      <c r="H32" s="799"/>
      <c r="I32" s="799"/>
      <c r="J32" s="799"/>
      <c r="K32" s="799"/>
    </row>
    <row r="35" spans="3:11" ht="15">
      <c r="C35" s="276"/>
      <c r="K35" s="230"/>
    </row>
    <row r="36" spans="3:11" ht="15">
      <c r="C36" s="276"/>
      <c r="K36" s="230"/>
    </row>
    <row r="37" spans="3:11" ht="15">
      <c r="C37" s="276"/>
      <c r="H37" s="799"/>
      <c r="I37" s="799"/>
      <c r="J37" s="799"/>
      <c r="K37" s="799"/>
    </row>
    <row r="38" spans="3:11">
      <c r="K38" s="230"/>
    </row>
    <row r="39" spans="3:11">
      <c r="K39" s="230"/>
    </row>
    <row r="40" spans="3:11">
      <c r="K40" s="230"/>
    </row>
    <row r="41" spans="3:11">
      <c r="K41" s="230"/>
    </row>
  </sheetData>
  <sheetProtection algorithmName="SHA-512" hashValue="9m0nc9CHIUn1rV9iK4SEPsUi6wwLC/20MQpLRUUKz05u1aR/9AotdT/tEt2scbBquTPedeWBwRU77VEgsFtfJw==" saltValue="IN6BPtukXImnZ7fn5080Zg==" spinCount="100000"/>
  <mergeCells count="6">
    <mergeCell ref="H37:K37"/>
    <mergeCell ref="B12:B13"/>
    <mergeCell ref="C12:C13"/>
    <mergeCell ref="F23:I23"/>
    <mergeCell ref="H28:K28"/>
    <mergeCell ref="H32:K32"/>
  </mergeCells>
  <pageMargins left="0.7" right="0.7" top="0.75" bottom="0.75" header="0.51180555555555496" footer="0.51180555555555496"/>
  <pageSetup firstPageNumber="0" orientation="portrait"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4">
    <tabColor theme="5" tint="0.59999389629810485"/>
  </sheetPr>
  <dimension ref="B2:N27"/>
  <sheetViews>
    <sheetView showGridLines="0" showRowColHeaders="0" topLeftCell="D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39" customWidth="1"/>
    <col min="4" max="4" width="70.140625" style="121" customWidth="1"/>
    <col min="5" max="5" width="11.140625" style="121" customWidth="1"/>
    <col min="6" max="6" width="10.140625" style="121" customWidth="1"/>
    <col min="7" max="7" width="8.42578125" style="121" customWidth="1"/>
    <col min="8" max="8" width="15.140625" style="121" customWidth="1"/>
    <col min="9" max="9" width="15.7109375" style="121" customWidth="1"/>
    <col min="10" max="10" width="16" style="121" customWidth="1"/>
    <col min="11" max="11" width="16.28515625" style="121" customWidth="1"/>
    <col min="12" max="12" width="16.28515625" bestFit="1" customWidth="1"/>
    <col min="13" max="13" width="12.28515625" customWidth="1"/>
    <col min="14" max="14" width="14.140625" bestFit="1" customWidth="1"/>
    <col min="15" max="1025" width="8.42578125" customWidth="1"/>
  </cols>
  <sheetData>
    <row r="2" spans="2:14" ht="13.5" thickBot="1">
      <c r="K2"/>
    </row>
    <row r="3" spans="2:14" ht="13.5" thickBot="1">
      <c r="G3" s="228"/>
      <c r="H3" s="195" t="s">
        <v>129</v>
      </c>
      <c r="I3" s="441">
        <f>trm</f>
        <v>4385.1487096774199</v>
      </c>
      <c r="K3"/>
    </row>
    <row r="4" spans="2:14" ht="13.5" thickBot="1"/>
    <row r="5" spans="2:14" s="229" customFormat="1" ht="39" customHeight="1" thickBot="1">
      <c r="C5" s="512" t="s">
        <v>967</v>
      </c>
      <c r="D5" s="287" t="s">
        <v>968</v>
      </c>
      <c r="E5" s="287" t="s">
        <v>969</v>
      </c>
      <c r="F5" s="287" t="s">
        <v>970</v>
      </c>
      <c r="G5" s="287" t="s">
        <v>715</v>
      </c>
      <c r="H5" s="287" t="s">
        <v>971</v>
      </c>
      <c r="I5" s="287" t="s">
        <v>972</v>
      </c>
      <c r="J5" s="287" t="s">
        <v>973</v>
      </c>
      <c r="K5" s="287" t="s">
        <v>974</v>
      </c>
      <c r="L5" s="551" t="s">
        <v>1096</v>
      </c>
      <c r="M5" s="502" t="s">
        <v>1022</v>
      </c>
      <c r="N5" s="287" t="s">
        <v>976</v>
      </c>
    </row>
    <row r="7" spans="2:14">
      <c r="K7" s="230"/>
    </row>
    <row r="8" spans="2:14" ht="15">
      <c r="B8">
        <v>2.8</v>
      </c>
      <c r="C8" s="252" t="s">
        <v>1106</v>
      </c>
      <c r="K8" s="230"/>
    </row>
    <row r="9" spans="2:14" ht="13.5" thickBot="1">
      <c r="K9" s="230"/>
    </row>
    <row r="10" spans="2:14" ht="117" customHeight="1" thickBot="1">
      <c r="B10" s="540" t="s">
        <v>496</v>
      </c>
      <c r="C10" s="541" t="s">
        <v>1107</v>
      </c>
      <c r="D10" s="542" t="s">
        <v>1108</v>
      </c>
      <c r="E10" s="514">
        <v>1</v>
      </c>
      <c r="F10" s="515">
        <v>2700</v>
      </c>
      <c r="G10" s="514" t="s">
        <v>1018</v>
      </c>
      <c r="H10" s="516">
        <f>+I10/$I$3</f>
        <v>135.64984613010222</v>
      </c>
      <c r="I10" s="543">
        <f>N10*M10</f>
        <v>594844.74772535835</v>
      </c>
      <c r="J10" s="516">
        <f>+H10*F10*E10*'Modelo Caudal - PIPING'!C8</f>
        <v>108691.7081139884</v>
      </c>
      <c r="K10" s="516">
        <f>+I10*F10*E10*'Modelo Caudal - PIPING'!C8</f>
        <v>476629303.58869106</v>
      </c>
      <c r="L10" s="523" t="s">
        <v>1098</v>
      </c>
      <c r="M10" s="421">
        <f>0.65*ipc/ipc_base+0.35*fac_mano_obra*trm/trm_base</f>
        <v>1</v>
      </c>
      <c r="N10" s="543">
        <v>594844.74772535835</v>
      </c>
    </row>
    <row r="11" spans="2:14" ht="15.75" thickBot="1">
      <c r="H11" s="250"/>
      <c r="J11" s="250"/>
      <c r="K11" s="250"/>
      <c r="N11" s="121"/>
    </row>
    <row r="12" spans="2:14" s="250" customFormat="1" ht="45" customHeight="1" thickBot="1">
      <c r="B12" s="800" t="s">
        <v>498</v>
      </c>
      <c r="C12" s="802" t="s">
        <v>1109</v>
      </c>
      <c r="D12" s="544" t="s">
        <v>1110</v>
      </c>
      <c r="E12" s="205">
        <v>1</v>
      </c>
      <c r="F12" s="235">
        <v>500</v>
      </c>
      <c r="G12" s="205" t="s">
        <v>1018</v>
      </c>
      <c r="H12" s="236">
        <f>+I12/$I$3</f>
        <v>95.094737493267544</v>
      </c>
      <c r="I12" s="291">
        <f t="shared" ref="I12:I13" si="0">N12*M12</f>
        <v>417004.56541571516</v>
      </c>
      <c r="J12" s="236">
        <f>+H12*F12*E12*'Modelo Caudal - PIPING'!C8</f>
        <v>14110.416479097388</v>
      </c>
      <c r="K12" s="236">
        <f>+I12*F12*E12*'Modelo Caudal - PIPING'!C8</f>
        <v>61876274.616324916</v>
      </c>
      <c r="L12" s="545" t="s">
        <v>1098</v>
      </c>
      <c r="M12" s="421">
        <f>0.65*ipc/ipc_base+0.35*fac_mano_obra*trm/trm_base</f>
        <v>1</v>
      </c>
      <c r="N12" s="291">
        <v>417004.56541571516</v>
      </c>
    </row>
    <row r="13" spans="2:14" s="250" customFormat="1" ht="45.75" thickBot="1">
      <c r="B13" s="801"/>
      <c r="C13" s="803"/>
      <c r="D13" s="546" t="s">
        <v>1111</v>
      </c>
      <c r="E13" s="222">
        <v>1</v>
      </c>
      <c r="F13" s="245">
        <v>1</v>
      </c>
      <c r="G13" s="222" t="s">
        <v>980</v>
      </c>
      <c r="H13" s="246">
        <f>+I13/$I$3</f>
        <v>89500.92940542828</v>
      </c>
      <c r="I13" s="295">
        <f t="shared" si="0"/>
        <v>392474885.09714365</v>
      </c>
      <c r="J13" s="246">
        <f>+H13*F13*E13*'Modelo Caudal - PIPING'!C8</f>
        <v>26560.783960653909</v>
      </c>
      <c r="K13" s="246">
        <f>+I13*F13*E13*'Modelo Caudal - PIPING'!C8</f>
        <v>116472987.51308219</v>
      </c>
      <c r="L13" s="547" t="s">
        <v>1098</v>
      </c>
      <c r="M13" s="421">
        <f>0.65*ipc/ipc_base+0.35*fac_mano_obra*trm/trm_base</f>
        <v>1</v>
      </c>
      <c r="N13" s="295">
        <v>392474885.09714365</v>
      </c>
    </row>
    <row r="14" spans="2:14" s="250" customFormat="1" ht="15">
      <c r="C14"/>
      <c r="D14" s="121"/>
      <c r="E14" s="121"/>
      <c r="F14" s="121"/>
      <c r="G14" s="121"/>
      <c r="I14" s="550">
        <f>SUM(I10:I13)</f>
        <v>393486734.4102847</v>
      </c>
      <c r="J14" s="550">
        <f>SUM(J10:J13)</f>
        <v>149362.90855373969</v>
      </c>
      <c r="K14" s="550">
        <f>SUM(K10:K13)</f>
        <v>654978565.71809816</v>
      </c>
    </row>
    <row r="15" spans="2:14" s="250" customFormat="1" ht="15.75" thickBot="1">
      <c r="C15"/>
      <c r="D15" s="121"/>
      <c r="E15" s="121"/>
      <c r="F15" s="121"/>
      <c r="G15" s="121"/>
      <c r="I15" s="121"/>
    </row>
    <row r="16" spans="2:14" ht="15.75" thickBot="1">
      <c r="H16" s="805" t="s">
        <v>1112</v>
      </c>
      <c r="I16" s="806"/>
      <c r="J16" s="548">
        <f>SUM(J10:J13)</f>
        <v>149362.90855373969</v>
      </c>
      <c r="K16" s="549">
        <f>K12+K13</f>
        <v>178349262.12940711</v>
      </c>
    </row>
    <row r="17" spans="3:11" ht="15">
      <c r="I17" s="277"/>
      <c r="J17" s="277"/>
      <c r="K17" s="277"/>
    </row>
    <row r="20" spans="3:11" ht="15">
      <c r="C20" s="276"/>
      <c r="K20" s="230"/>
    </row>
    <row r="21" spans="3:11" ht="15">
      <c r="C21" s="276"/>
      <c r="K21" s="230"/>
    </row>
    <row r="22" spans="3:11" ht="15">
      <c r="C22" s="276"/>
      <c r="K22" s="230"/>
    </row>
    <row r="23" spans="3:11" ht="15">
      <c r="C23" s="276"/>
      <c r="H23" s="799"/>
      <c r="I23" s="799"/>
      <c r="J23" s="799"/>
      <c r="K23" s="799"/>
    </row>
    <row r="24" spans="3:11">
      <c r="K24" s="230"/>
    </row>
    <row r="25" spans="3:11">
      <c r="K25" s="230"/>
    </row>
    <row r="26" spans="3:11">
      <c r="K26" s="230"/>
    </row>
    <row r="27" spans="3:11">
      <c r="K27" s="230"/>
    </row>
  </sheetData>
  <sheetProtection algorithmName="SHA-512" hashValue="dyJn4NTQUXKzyNOdIKGjsh6EAWMJ70VIkSouBdNAHbItRw1uAuZPasuGC+dQAIofC5zdXxU8xq6/RSrZApMOBQ==" saltValue="6BOZH5FS+urhq7qqauT/kg==" spinCount="100000"/>
  <mergeCells count="4">
    <mergeCell ref="B12:B13"/>
    <mergeCell ref="C12:C13"/>
    <mergeCell ref="H16:I16"/>
    <mergeCell ref="H23:K23"/>
  </mergeCells>
  <pageMargins left="0.7" right="0.7" top="0.75" bottom="0.75" header="0.51180555555555496" footer="0.51180555555555496"/>
  <pageSetup firstPageNumber="0" orientation="portrait"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35">
    <tabColor theme="5" tint="0.59999389629810485"/>
  </sheetPr>
  <dimension ref="B2:Q35"/>
  <sheetViews>
    <sheetView showGridLines="0" showRowColHeaders="0" topLeftCell="F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26.7109375" customWidth="1"/>
    <col min="4" max="4" width="70.140625" style="121" customWidth="1"/>
    <col min="5" max="5" width="11" style="121" customWidth="1"/>
    <col min="6" max="6" width="10.140625" style="121" customWidth="1"/>
    <col min="7" max="7" width="8.42578125" style="121" customWidth="1"/>
    <col min="8" max="8" width="15.140625" style="121" customWidth="1"/>
    <col min="9" max="9" width="15.7109375" style="121" customWidth="1"/>
    <col min="10" max="10" width="16" style="121" customWidth="1"/>
    <col min="11" max="11" width="16.28515625" style="121" customWidth="1"/>
    <col min="12" max="13" width="18.42578125" customWidth="1"/>
    <col min="14" max="14" width="11.85546875" bestFit="1" customWidth="1"/>
    <col min="15" max="15" width="15.7109375" bestFit="1" customWidth="1"/>
    <col min="16" max="16" width="14.140625" bestFit="1" customWidth="1"/>
    <col min="17" max="17" width="17.28515625" bestFit="1" customWidth="1"/>
    <col min="18" max="1026" width="8.42578125" customWidth="1"/>
  </cols>
  <sheetData>
    <row r="2" spans="2:17" ht="13.5" thickBot="1">
      <c r="K2"/>
    </row>
    <row r="3" spans="2:17" ht="13.5" thickBot="1">
      <c r="G3" s="228"/>
      <c r="H3" s="195" t="s">
        <v>129</v>
      </c>
      <c r="I3" s="441">
        <f>trm</f>
        <v>4385.1487096774199</v>
      </c>
      <c r="K3"/>
    </row>
    <row r="4" spans="2:17" ht="13.5" thickBot="1"/>
    <row r="5" spans="2:17" s="229" customFormat="1" ht="39" customHeight="1" thickBot="1">
      <c r="C5" s="512" t="s">
        <v>967</v>
      </c>
      <c r="D5" s="287" t="s">
        <v>968</v>
      </c>
      <c r="E5" s="287" t="s">
        <v>969</v>
      </c>
      <c r="F5" s="287" t="s">
        <v>970</v>
      </c>
      <c r="G5" s="287" t="s">
        <v>715</v>
      </c>
      <c r="H5" s="287" t="s">
        <v>971</v>
      </c>
      <c r="I5" s="287" t="s">
        <v>972</v>
      </c>
      <c r="J5" s="287" t="s">
        <v>1113</v>
      </c>
      <c r="K5" s="287" t="s">
        <v>974</v>
      </c>
      <c r="L5" s="287" t="s">
        <v>1114</v>
      </c>
      <c r="M5" s="480" t="s">
        <v>1115</v>
      </c>
      <c r="N5" s="605" t="s">
        <v>961</v>
      </c>
      <c r="O5" s="197" t="s">
        <v>962</v>
      </c>
      <c r="P5" s="287" t="s">
        <v>1116</v>
      </c>
      <c r="Q5" s="287" t="s">
        <v>1117</v>
      </c>
    </row>
    <row r="7" spans="2:17">
      <c r="K7" s="230"/>
    </row>
    <row r="8" spans="2:17" ht="15">
      <c r="B8">
        <v>2.9</v>
      </c>
      <c r="C8" s="252" t="s">
        <v>500</v>
      </c>
      <c r="K8" s="230"/>
    </row>
    <row r="9" spans="2:17" ht="13.5" thickBot="1">
      <c r="K9" s="230"/>
    </row>
    <row r="10" spans="2:17" ht="102.75" customHeight="1" thickBot="1">
      <c r="B10" s="808" t="s">
        <v>501</v>
      </c>
      <c r="C10" s="811" t="s">
        <v>1118</v>
      </c>
      <c r="D10" s="538" t="s">
        <v>1119</v>
      </c>
      <c r="E10" s="205">
        <v>1</v>
      </c>
      <c r="F10" s="235">
        <v>1</v>
      </c>
      <c r="G10" s="205" t="s">
        <v>984</v>
      </c>
      <c r="H10" s="236">
        <f>+I10/$I$3</f>
        <v>83235.588695457773</v>
      </c>
      <c r="I10" s="291">
        <f t="shared" ref="I10:I12" si="0">P10*N10</f>
        <v>365000434.36712712</v>
      </c>
      <c r="J10" s="236">
        <f>+H10*F10*E10</f>
        <v>83235.588695457773</v>
      </c>
      <c r="K10" s="236">
        <f>+I10*F10*E10</f>
        <v>365000434.36712712</v>
      </c>
      <c r="L10" s="237">
        <f>Q10*O10</f>
        <v>106704109.38578594</v>
      </c>
      <c r="M10" s="236">
        <f>+J10+L10/$I$3</f>
        <v>107568.65387755859</v>
      </c>
      <c r="N10" s="421">
        <f>ipc/ipc_base</f>
        <v>1</v>
      </c>
      <c r="O10" s="421">
        <f>0.65*ipc/ipc_base+0.35*fac_mano_obra*trm/trm_base</f>
        <v>1</v>
      </c>
      <c r="P10" s="291">
        <v>365000434.36712712</v>
      </c>
      <c r="Q10" s="237">
        <v>106704109.38578594</v>
      </c>
    </row>
    <row r="11" spans="2:17" ht="41.1" customHeight="1" thickBot="1">
      <c r="B11" s="809"/>
      <c r="C11" s="812"/>
      <c r="D11" s="253" t="s">
        <v>1120</v>
      </c>
      <c r="E11" s="213">
        <v>1</v>
      </c>
      <c r="F11" s="240">
        <v>1</v>
      </c>
      <c r="G11" s="213" t="s">
        <v>980</v>
      </c>
      <c r="H11" s="241">
        <f>+I11/$I$3</f>
        <v>10045.674497727661</v>
      </c>
      <c r="I11" s="262">
        <f t="shared" si="0"/>
        <v>44051776.56154982</v>
      </c>
      <c r="J11" s="241">
        <f>+H11*F11*E11</f>
        <v>10045.674497727661</v>
      </c>
      <c r="K11" s="241">
        <f>+I11*F11*E11</f>
        <v>44051776.56154982</v>
      </c>
      <c r="L11" s="242">
        <f t="shared" ref="L11:L12" si="1">Q11*O11</f>
        <v>12878082.167250026</v>
      </c>
      <c r="M11" s="241">
        <f t="shared" ref="M11:M12" si="2">+J11+L11/$I$3</f>
        <v>12982.423743843276</v>
      </c>
      <c r="N11" s="421">
        <f>ipc/ipc_base</f>
        <v>1</v>
      </c>
      <c r="O11" s="421">
        <f>0.65*ipc/ipc_base+0.35*fac_mano_obra*trm/trm_base</f>
        <v>1</v>
      </c>
      <c r="P11" s="262">
        <v>44051776.56154982</v>
      </c>
      <c r="Q11" s="242">
        <v>12878082.167250026</v>
      </c>
    </row>
    <row r="12" spans="2:17" ht="41.1" customHeight="1" thickBot="1">
      <c r="B12" s="810"/>
      <c r="C12" s="813"/>
      <c r="D12" s="539" t="s">
        <v>1121</v>
      </c>
      <c r="E12" s="222">
        <v>1</v>
      </c>
      <c r="F12" s="245">
        <v>1</v>
      </c>
      <c r="G12" s="222" t="s">
        <v>980</v>
      </c>
      <c r="H12" s="246">
        <f>+I12/$I$3</f>
        <v>602.74046986365965</v>
      </c>
      <c r="I12" s="295">
        <f t="shared" si="0"/>
        <v>2643106.5936929891</v>
      </c>
      <c r="J12" s="246">
        <f>+H12*F12*E12</f>
        <v>602.74046986365965</v>
      </c>
      <c r="K12" s="246">
        <f>+I12*F12*E12</f>
        <v>2643106.5936929891</v>
      </c>
      <c r="L12" s="247">
        <f t="shared" si="1"/>
        <v>772684.9300350016</v>
      </c>
      <c r="M12" s="246">
        <f t="shared" si="2"/>
        <v>778.94542463059656</v>
      </c>
      <c r="N12" s="421">
        <f>ipc/ipc_base</f>
        <v>1</v>
      </c>
      <c r="O12" s="421">
        <f>0.65*ipc/ipc_base+0.35*fac_mano_obra*trm/trm_base</f>
        <v>1</v>
      </c>
      <c r="P12" s="295">
        <v>2643106.5936929891</v>
      </c>
      <c r="Q12" s="247">
        <v>772684.9300350016</v>
      </c>
    </row>
    <row r="13" spans="2:17" ht="15">
      <c r="G13" s="807" t="s">
        <v>1122</v>
      </c>
      <c r="H13" s="807"/>
      <c r="I13" s="807"/>
      <c r="J13" s="537">
        <f>SUM(J10:J12)</f>
        <v>93884.003663049094</v>
      </c>
      <c r="K13" s="537">
        <f>SUM(K10:K12)</f>
        <v>411695317.52236998</v>
      </c>
      <c r="L13" s="537">
        <f>SUM(L10:L12)</f>
        <v>120354876.48307095</v>
      </c>
      <c r="M13" s="537">
        <f>SUM(M10:M12)</f>
        <v>121330.02304603247</v>
      </c>
    </row>
    <row r="14" spans="2:17" ht="15">
      <c r="H14" s="250"/>
      <c r="J14" s="250"/>
      <c r="K14" s="250"/>
    </row>
    <row r="15" spans="2:17" ht="15.75" thickBot="1">
      <c r="H15" s="250"/>
      <c r="J15" s="250"/>
      <c r="K15" s="250"/>
    </row>
    <row r="16" spans="2:17" s="250" customFormat="1" ht="42.75" customHeight="1" thickBot="1">
      <c r="B16" s="808" t="s">
        <v>503</v>
      </c>
      <c r="C16" s="811" t="s">
        <v>1123</v>
      </c>
      <c r="D16" s="538" t="s">
        <v>1124</v>
      </c>
      <c r="E16" s="205">
        <v>1</v>
      </c>
      <c r="F16" s="235">
        <v>1</v>
      </c>
      <c r="G16" s="205" t="s">
        <v>984</v>
      </c>
      <c r="H16" s="236">
        <f t="shared" ref="H16:H22" si="3">+I16/$I$3</f>
        <v>1824.3394989878225</v>
      </c>
      <c r="I16" s="291">
        <f>8000000*N16</f>
        <v>8000000</v>
      </c>
      <c r="J16" s="236">
        <f t="shared" ref="J16:J22" si="4">+H16*F16*E16</f>
        <v>1824.3394989878225</v>
      </c>
      <c r="K16" s="236">
        <f t="shared" ref="K16:K22" si="5">+I16*F16*E16</f>
        <v>8000000</v>
      </c>
      <c r="L16" s="237">
        <f t="shared" ref="L16:L22" si="6">Q16*O16</f>
        <v>2943561.6382285776</v>
      </c>
      <c r="M16" s="236">
        <f>+J16+L16/$I$3</f>
        <v>2495.5964695285347</v>
      </c>
      <c r="N16" s="421">
        <f t="shared" ref="N16:N22" si="7">ipc/ipc_base</f>
        <v>1</v>
      </c>
      <c r="O16" s="421">
        <f t="shared" ref="O16:O22" si="8">0.65*ipc/ipc_base+0.35*fac_mano_obra*trm/trm_base</f>
        <v>1</v>
      </c>
      <c r="P16" s="291">
        <v>10068977.499782816</v>
      </c>
      <c r="Q16" s="237">
        <v>2943561.6382285776</v>
      </c>
    </row>
    <row r="17" spans="2:17" s="250" customFormat="1" ht="45.75" thickBot="1">
      <c r="B17" s="809"/>
      <c r="C17" s="812"/>
      <c r="D17" s="253" t="s">
        <v>1125</v>
      </c>
      <c r="E17" s="213">
        <v>1</v>
      </c>
      <c r="F17" s="240">
        <v>1</v>
      </c>
      <c r="G17" s="213" t="s">
        <v>980</v>
      </c>
      <c r="H17" s="241">
        <f t="shared" si="3"/>
        <v>17103.182803010834</v>
      </c>
      <c r="I17" s="262">
        <f>75000000*N17</f>
        <v>75000000</v>
      </c>
      <c r="J17" s="241">
        <f t="shared" si="4"/>
        <v>17103.182803010834</v>
      </c>
      <c r="K17" s="241">
        <f t="shared" si="5"/>
        <v>75000000</v>
      </c>
      <c r="L17" s="242">
        <f t="shared" si="6"/>
        <v>27595890.358392913</v>
      </c>
      <c r="M17" s="241">
        <f t="shared" ref="M17:M22" si="9">+J17+L17/$I$3</f>
        <v>23396.216901830008</v>
      </c>
      <c r="N17" s="421">
        <f t="shared" si="7"/>
        <v>1</v>
      </c>
      <c r="O17" s="421">
        <f t="shared" si="8"/>
        <v>1</v>
      </c>
      <c r="P17" s="262">
        <v>94396664.060463905</v>
      </c>
      <c r="Q17" s="242">
        <v>27595890.358392913</v>
      </c>
    </row>
    <row r="18" spans="2:17" s="250" customFormat="1" ht="30.75" thickBot="1">
      <c r="B18" s="809"/>
      <c r="C18" s="812"/>
      <c r="D18" s="253" t="s">
        <v>1126</v>
      </c>
      <c r="E18" s="213">
        <v>1</v>
      </c>
      <c r="F18" s="240">
        <v>1</v>
      </c>
      <c r="G18" s="213" t="s">
        <v>980</v>
      </c>
      <c r="H18" s="241">
        <f t="shared" si="3"/>
        <v>50228.372488638306</v>
      </c>
      <c r="I18" s="262">
        <f t="shared" ref="I18:I22" si="10">P18*N18</f>
        <v>220258882.80774909</v>
      </c>
      <c r="J18" s="241">
        <f t="shared" si="4"/>
        <v>50228.372488638306</v>
      </c>
      <c r="K18" s="241">
        <f t="shared" si="5"/>
        <v>220258882.80774909</v>
      </c>
      <c r="L18" s="242">
        <f t="shared" si="6"/>
        <v>64390410.836250134</v>
      </c>
      <c r="M18" s="241">
        <f t="shared" si="9"/>
        <v>64912.118719216385</v>
      </c>
      <c r="N18" s="421">
        <f t="shared" si="7"/>
        <v>1</v>
      </c>
      <c r="O18" s="421">
        <f t="shared" si="8"/>
        <v>1</v>
      </c>
      <c r="P18" s="262">
        <v>220258882.80774909</v>
      </c>
      <c r="Q18" s="242">
        <v>64390410.836250134</v>
      </c>
    </row>
    <row r="19" spans="2:17" ht="30.75" thickBot="1">
      <c r="B19" s="809"/>
      <c r="C19" s="812"/>
      <c r="D19" s="253" t="s">
        <v>1127</v>
      </c>
      <c r="E19" s="213">
        <v>1</v>
      </c>
      <c r="F19" s="240">
        <v>300</v>
      </c>
      <c r="G19" s="213" t="s">
        <v>1018</v>
      </c>
      <c r="H19" s="241">
        <f t="shared" si="3"/>
        <v>57.403854272729504</v>
      </c>
      <c r="I19" s="262">
        <f t="shared" si="10"/>
        <v>251724.43749457042</v>
      </c>
      <c r="J19" s="241">
        <f t="shared" si="4"/>
        <v>17221.15628181885</v>
      </c>
      <c r="K19" s="241">
        <f t="shared" si="5"/>
        <v>75517331.248371124</v>
      </c>
      <c r="L19" s="242">
        <f t="shared" si="6"/>
        <v>22076712.28671433</v>
      </c>
      <c r="M19" s="241">
        <f t="shared" si="9"/>
        <v>22255.583560874191</v>
      </c>
      <c r="N19" s="421">
        <f t="shared" si="7"/>
        <v>1</v>
      </c>
      <c r="O19" s="421">
        <f t="shared" si="8"/>
        <v>1</v>
      </c>
      <c r="P19" s="262">
        <v>251724.43749457042</v>
      </c>
      <c r="Q19" s="242">
        <v>22076712.28671433</v>
      </c>
    </row>
    <row r="20" spans="2:17" ht="30.75" thickBot="1">
      <c r="B20" s="809"/>
      <c r="C20" s="812"/>
      <c r="D20" s="253" t="s">
        <v>1128</v>
      </c>
      <c r="E20" s="213">
        <v>1</v>
      </c>
      <c r="F20" s="240">
        <v>1</v>
      </c>
      <c r="G20" s="213" t="s">
        <v>980</v>
      </c>
      <c r="H20" s="241">
        <f t="shared" si="3"/>
        <v>2870.1927136364748</v>
      </c>
      <c r="I20" s="262">
        <f t="shared" si="10"/>
        <v>12586221.874728519</v>
      </c>
      <c r="J20" s="241">
        <f t="shared" si="4"/>
        <v>2870.1927136364748</v>
      </c>
      <c r="K20" s="241">
        <f t="shared" si="5"/>
        <v>12586221.874728519</v>
      </c>
      <c r="L20" s="242">
        <f t="shared" si="6"/>
        <v>3679452.0477857217</v>
      </c>
      <c r="M20" s="241">
        <f t="shared" si="9"/>
        <v>3709.2639268123648</v>
      </c>
      <c r="N20" s="421">
        <f t="shared" si="7"/>
        <v>1</v>
      </c>
      <c r="O20" s="421">
        <f t="shared" si="8"/>
        <v>1</v>
      </c>
      <c r="P20" s="262">
        <v>12586221.874728519</v>
      </c>
      <c r="Q20" s="242">
        <v>3679452.0477857217</v>
      </c>
    </row>
    <row r="21" spans="2:17" ht="30.75" thickBot="1">
      <c r="B21" s="809"/>
      <c r="C21" s="812"/>
      <c r="D21" s="253" t="s">
        <v>1129</v>
      </c>
      <c r="E21" s="213">
        <v>1</v>
      </c>
      <c r="F21" s="240">
        <v>1</v>
      </c>
      <c r="G21" s="213" t="s">
        <v>980</v>
      </c>
      <c r="H21" s="241">
        <f t="shared" si="3"/>
        <v>1148.0770854545899</v>
      </c>
      <c r="I21" s="262">
        <f t="shared" si="10"/>
        <v>5034488.7498914078</v>
      </c>
      <c r="J21" s="241">
        <f t="shared" si="4"/>
        <v>1148.0770854545899</v>
      </c>
      <c r="K21" s="241">
        <f t="shared" si="5"/>
        <v>5034488.7498914078</v>
      </c>
      <c r="L21" s="242">
        <f t="shared" si="6"/>
        <v>1471780.8119056299</v>
      </c>
      <c r="M21" s="241">
        <f t="shared" si="9"/>
        <v>1483.7055690810657</v>
      </c>
      <c r="N21" s="421">
        <f t="shared" si="7"/>
        <v>1</v>
      </c>
      <c r="O21" s="421">
        <f t="shared" si="8"/>
        <v>1</v>
      </c>
      <c r="P21" s="262">
        <v>5034488.7498914078</v>
      </c>
      <c r="Q21" s="242">
        <v>1471780.8119056299</v>
      </c>
    </row>
    <row r="22" spans="2:17" ht="30.75" thickBot="1">
      <c r="B22" s="810"/>
      <c r="C22" s="813"/>
      <c r="D22" s="539" t="s">
        <v>1130</v>
      </c>
      <c r="E22" s="222">
        <v>1</v>
      </c>
      <c r="F22" s="245">
        <v>1</v>
      </c>
      <c r="G22" s="222" t="s">
        <v>980</v>
      </c>
      <c r="H22" s="246">
        <f t="shared" si="3"/>
        <v>861.05781409094254</v>
      </c>
      <c r="I22" s="295">
        <f t="shared" si="10"/>
        <v>3775866.5624185563</v>
      </c>
      <c r="J22" s="246">
        <f t="shared" si="4"/>
        <v>861.05781409094254</v>
      </c>
      <c r="K22" s="246">
        <f t="shared" si="5"/>
        <v>3775866.5624185563</v>
      </c>
      <c r="L22" s="247">
        <f t="shared" si="6"/>
        <v>1103835.6143357165</v>
      </c>
      <c r="M22" s="246">
        <f t="shared" si="9"/>
        <v>1112.7791780437096</v>
      </c>
      <c r="N22" s="421">
        <f t="shared" si="7"/>
        <v>1</v>
      </c>
      <c r="O22" s="421">
        <f t="shared" si="8"/>
        <v>1</v>
      </c>
      <c r="P22" s="295">
        <v>3775866.5624185563</v>
      </c>
      <c r="Q22" s="247">
        <v>1103835.6143357165</v>
      </c>
    </row>
    <row r="23" spans="2:17" ht="15">
      <c r="G23" s="807" t="s">
        <v>1131</v>
      </c>
      <c r="H23" s="807"/>
      <c r="I23" s="807"/>
      <c r="J23" s="537">
        <f>SUM(J16:J22)</f>
        <v>91256.378685637814</v>
      </c>
      <c r="K23" s="537">
        <f>SUM(K16:K22)</f>
        <v>400172791.2431587</v>
      </c>
      <c r="L23" s="537">
        <f>SUM(L16:L22)</f>
        <v>123261643.593613</v>
      </c>
      <c r="M23" s="537">
        <f>SUM(M16:M22)</f>
        <v>119365.26432538626</v>
      </c>
    </row>
    <row r="24" spans="2:17">
      <c r="B24" s="198"/>
      <c r="C24" s="254"/>
      <c r="K24" s="230"/>
    </row>
    <row r="25" spans="2:17">
      <c r="B25" s="198"/>
      <c r="C25" s="254"/>
    </row>
    <row r="26" spans="2:17" ht="13.5" thickBot="1"/>
    <row r="27" spans="2:17" ht="28.5" customHeight="1" thickBot="1">
      <c r="B27" s="808" t="s">
        <v>505</v>
      </c>
      <c r="C27" s="811" t="s">
        <v>506</v>
      </c>
      <c r="D27" s="538" t="s">
        <v>1132</v>
      </c>
      <c r="E27" s="205">
        <v>1</v>
      </c>
      <c r="F27" s="235">
        <v>1</v>
      </c>
      <c r="G27" s="205" t="s">
        <v>984</v>
      </c>
      <c r="H27" s="236">
        <f>+I27/$I$3</f>
        <v>3094.2817180471643</v>
      </c>
      <c r="I27" s="291">
        <f t="shared" ref="I27:I30" si="11">P27*N27</f>
        <v>13568885.483272953</v>
      </c>
      <c r="J27" s="236">
        <f>+H27*F27*E27</f>
        <v>3094.2817180471643</v>
      </c>
      <c r="K27" s="236">
        <f>+I27*F27*E27</f>
        <v>13568885.483272953</v>
      </c>
      <c r="L27" s="237">
        <f t="shared" ref="L27:L31" si="12">Q27*O27</f>
        <v>4500000</v>
      </c>
      <c r="M27" s="236">
        <f>+J27+L27/$I$3</f>
        <v>4120.4726862278148</v>
      </c>
      <c r="N27" s="421">
        <f>(acero/acero_base)*(trm/trm_base)</f>
        <v>1</v>
      </c>
      <c r="O27" s="421">
        <f>0.65*ipc/ipc_base+0.35*fac_mano_obra*trm/trm_base</f>
        <v>1</v>
      </c>
      <c r="P27" s="291">
        <v>13568885.483272953</v>
      </c>
      <c r="Q27" s="237">
        <v>4500000</v>
      </c>
    </row>
    <row r="28" spans="2:17" ht="30.75" thickBot="1">
      <c r="B28" s="809"/>
      <c r="C28" s="812"/>
      <c r="D28" s="253" t="s">
        <v>1133</v>
      </c>
      <c r="E28" s="213">
        <v>1</v>
      </c>
      <c r="F28" s="240">
        <v>1</v>
      </c>
      <c r="G28" s="213" t="s">
        <v>980</v>
      </c>
      <c r="H28" s="241">
        <f>+I28/$I$3</f>
        <v>5157.136196745274</v>
      </c>
      <c r="I28" s="262">
        <f t="shared" si="11"/>
        <v>22614809.138788257</v>
      </c>
      <c r="J28" s="241">
        <f>+H28*F28*E28</f>
        <v>5157.136196745274</v>
      </c>
      <c r="K28" s="241">
        <f>+I28*F28*E28</f>
        <v>22614809.138788257</v>
      </c>
      <c r="L28" s="242">
        <f t="shared" si="12"/>
        <v>7500000</v>
      </c>
      <c r="M28" s="241">
        <f t="shared" ref="M28:M31" si="13">+J28+L28/$I$3</f>
        <v>6867.4544770463572</v>
      </c>
      <c r="N28" s="421">
        <f>(acero/acero_base)*(trm/trm_base)</f>
        <v>1</v>
      </c>
      <c r="O28" s="421">
        <f>0.65*ipc/ipc_base+0.35*fac_mano_obra*trm/trm_base</f>
        <v>1</v>
      </c>
      <c r="P28" s="262">
        <v>22614809.138788257</v>
      </c>
      <c r="Q28" s="242">
        <v>7500000</v>
      </c>
    </row>
    <row r="29" spans="2:17" ht="30.75" thickBot="1">
      <c r="B29" s="809"/>
      <c r="C29" s="812"/>
      <c r="D29" s="253" t="s">
        <v>1134</v>
      </c>
      <c r="E29" s="213">
        <v>1</v>
      </c>
      <c r="F29" s="240">
        <v>1</v>
      </c>
      <c r="G29" s="213" t="s">
        <v>984</v>
      </c>
      <c r="H29" s="241">
        <f>+I29/$I$3</f>
        <v>1161.4215505555421</v>
      </c>
      <c r="I29" s="262">
        <f t="shared" si="11"/>
        <v>5093006.213810184</v>
      </c>
      <c r="J29" s="241">
        <f>+H29*F29*E29</f>
        <v>1161.4215505555421</v>
      </c>
      <c r="K29" s="241">
        <f>+I29*F29*E29</f>
        <v>5093006.213810184</v>
      </c>
      <c r="L29" s="242">
        <f t="shared" si="12"/>
        <v>1200000</v>
      </c>
      <c r="M29" s="241">
        <f t="shared" si="13"/>
        <v>1435.0724754037155</v>
      </c>
      <c r="N29" s="421">
        <f>(ppi_usa_medidores/ppi_usa_medidores_base)*(trm/trm_base)</f>
        <v>1</v>
      </c>
      <c r="O29" s="421">
        <f>0.65*ipc/ipc_base+0.35*fac_mano_obra*trm/trm_base</f>
        <v>1</v>
      </c>
      <c r="P29" s="262">
        <v>5093006.213810184</v>
      </c>
      <c r="Q29" s="242">
        <v>1200000</v>
      </c>
    </row>
    <row r="30" spans="2:17" ht="30.75" thickBot="1">
      <c r="B30" s="809"/>
      <c r="C30" s="812"/>
      <c r="D30" s="253" t="s">
        <v>1135</v>
      </c>
      <c r="E30" s="213">
        <v>1</v>
      </c>
      <c r="F30" s="240">
        <v>1</v>
      </c>
      <c r="G30" s="213" t="s">
        <v>984</v>
      </c>
      <c r="H30" s="241">
        <f>+I30/$I$3</f>
        <v>1161.4215505555421</v>
      </c>
      <c r="I30" s="262">
        <f t="shared" si="11"/>
        <v>5093006.213810184</v>
      </c>
      <c r="J30" s="241">
        <f>+H30*F30*E30</f>
        <v>1161.4215505555421</v>
      </c>
      <c r="K30" s="241">
        <f>+I30*F30*E30</f>
        <v>5093006.213810184</v>
      </c>
      <c r="L30" s="242">
        <f t="shared" si="12"/>
        <v>1200000</v>
      </c>
      <c r="M30" s="241">
        <f t="shared" si="13"/>
        <v>1435.0724754037155</v>
      </c>
      <c r="N30" s="421">
        <f>(ppi_usa_medidores/ppi_usa_medidores_base)*(trm/trm_base)</f>
        <v>1</v>
      </c>
      <c r="O30" s="421">
        <f>0.65*ipc/ipc_base+0.35*fac_mano_obra*trm/trm_base</f>
        <v>1</v>
      </c>
      <c r="P30" s="262">
        <v>5093006.213810184</v>
      </c>
      <c r="Q30" s="242">
        <v>1200000</v>
      </c>
    </row>
    <row r="31" spans="2:17" ht="30.75" thickBot="1">
      <c r="B31" s="810"/>
      <c r="C31" s="813"/>
      <c r="D31" s="539" t="s">
        <v>1136</v>
      </c>
      <c r="E31" s="222">
        <v>1</v>
      </c>
      <c r="F31" s="245">
        <v>1</v>
      </c>
      <c r="G31" s="222" t="s">
        <v>980</v>
      </c>
      <c r="H31" s="246">
        <f>+I31/$I$3</f>
        <v>861.05781409094254</v>
      </c>
      <c r="I31" s="295">
        <f>P31*N31</f>
        <v>3775866.5624185563</v>
      </c>
      <c r="J31" s="246">
        <f>+H31*F31*E31</f>
        <v>861.05781409094254</v>
      </c>
      <c r="K31" s="246">
        <f>+I31*F31*E31</f>
        <v>3775866.5624185563</v>
      </c>
      <c r="L31" s="247">
        <f t="shared" si="12"/>
        <v>900000</v>
      </c>
      <c r="M31" s="246">
        <f t="shared" si="13"/>
        <v>1066.2960077270725</v>
      </c>
      <c r="N31" s="421">
        <f>ipc/ipc_base</f>
        <v>1</v>
      </c>
      <c r="O31" s="421">
        <f>0.65*ipc/ipc_base+0.35*fac_mano_obra*trm/trm_base</f>
        <v>1</v>
      </c>
      <c r="P31" s="295">
        <v>3775866.5624185563</v>
      </c>
      <c r="Q31" s="247">
        <v>900000</v>
      </c>
    </row>
    <row r="32" spans="2:17" ht="15">
      <c r="B32" s="198"/>
      <c r="C32" s="233"/>
      <c r="G32" s="807" t="s">
        <v>1137</v>
      </c>
      <c r="H32" s="807"/>
      <c r="I32" s="807"/>
      <c r="J32" s="537">
        <f>SUM(J28:J31)</f>
        <v>8341.0371119473002</v>
      </c>
      <c r="K32" s="537">
        <f>SUM(K28:K31)</f>
        <v>36576688.128827177</v>
      </c>
      <c r="L32" s="537">
        <f>SUM(L28:L31)</f>
        <v>10800000</v>
      </c>
      <c r="M32" s="537">
        <f>SUM(M28:M31)</f>
        <v>10803.89543558086</v>
      </c>
    </row>
    <row r="34" spans="7:13" ht="13.5" thickBot="1"/>
    <row r="35" spans="7:13" ht="15.75" thickBot="1">
      <c r="G35" s="784" t="s">
        <v>1138</v>
      </c>
      <c r="H35" s="785"/>
      <c r="I35" s="785"/>
      <c r="J35" s="518">
        <f>((+J13+J23+J32)+(L35/I3))</f>
        <v>251499.1828069996</v>
      </c>
      <c r="K35" s="518">
        <f>(K13+K23+K32)</f>
        <v>848444796.89435589</v>
      </c>
      <c r="L35" s="518">
        <f>(L13+L23+L32)</f>
        <v>254416520.07668394</v>
      </c>
      <c r="M35" s="521">
        <f>(M13+M23+M32)</f>
        <v>251499.1828069996</v>
      </c>
    </row>
  </sheetData>
  <sheetProtection algorithmName="SHA-512" hashValue="2J6R+TpU/9RiPbQ9bHblcP433KJGQwrVwWeaGXk7diCF4PzcqgOMzK1CKAD3TXhHSDRznC5sX9nN9pNopegbug==" saltValue="TYv4a+PIGBJuh01tEhGdxQ==" spinCount="100000"/>
  <mergeCells count="10">
    <mergeCell ref="B10:B12"/>
    <mergeCell ref="C10:C12"/>
    <mergeCell ref="G13:I13"/>
    <mergeCell ref="B16:B22"/>
    <mergeCell ref="C16:C22"/>
    <mergeCell ref="G23:I23"/>
    <mergeCell ref="B27:B31"/>
    <mergeCell ref="C27:C31"/>
    <mergeCell ref="G32:I32"/>
    <mergeCell ref="G35:I35"/>
  </mergeCells>
  <pageMargins left="0.7" right="0.7" top="0.75" bottom="0.75" header="0.51180555555555496" footer="0.51180555555555496"/>
  <pageSetup firstPageNumber="0" orientation="portrait"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36">
    <tabColor rgb="FFF4B183"/>
  </sheetPr>
  <dimension ref="B3:M45"/>
  <sheetViews>
    <sheetView showGridLines="0" showRowColHeaders="0" topLeftCell="E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2" width="8.42578125" customWidth="1"/>
    <col min="3" max="3" width="17.42578125" customWidth="1"/>
    <col min="4" max="4" width="91.7109375" customWidth="1"/>
    <col min="5" max="7" width="10.42578125" customWidth="1"/>
    <col min="8" max="8" width="13.42578125" customWidth="1"/>
    <col min="9" max="9" width="18.140625" customWidth="1"/>
    <col min="10" max="10" width="16.42578125" customWidth="1"/>
    <col min="11" max="11" width="20.85546875" customWidth="1"/>
    <col min="12" max="12" width="14.28515625" customWidth="1"/>
    <col min="13" max="13" width="36.140625" customWidth="1"/>
    <col min="14" max="14" width="8.42578125" customWidth="1"/>
    <col min="15" max="15" width="11.85546875" customWidth="1"/>
    <col min="16" max="16" width="45" customWidth="1"/>
    <col min="17" max="1025" width="8.42578125" customWidth="1"/>
  </cols>
  <sheetData>
    <row r="3" spans="2:13" ht="22.5" customHeight="1">
      <c r="B3" s="820">
        <v>3.1</v>
      </c>
      <c r="C3" s="820"/>
      <c r="D3" s="278" t="s">
        <v>40</v>
      </c>
      <c r="G3" s="271" t="s">
        <v>129</v>
      </c>
      <c r="H3" s="279">
        <f>trm</f>
        <v>4385.1487096774199</v>
      </c>
    </row>
    <row r="4" spans="2:13" ht="13.5" thickBot="1"/>
    <row r="5" spans="2:13" ht="45.75" thickBot="1">
      <c r="C5" s="121"/>
      <c r="D5" s="121"/>
      <c r="E5" s="512" t="s">
        <v>1139</v>
      </c>
      <c r="F5" s="287" t="s">
        <v>1140</v>
      </c>
      <c r="G5" s="287" t="s">
        <v>1139</v>
      </c>
      <c r="H5" s="287" t="s">
        <v>1141</v>
      </c>
      <c r="I5" s="287" t="s">
        <v>1142</v>
      </c>
      <c r="J5" s="288" t="s">
        <v>1143</v>
      </c>
      <c r="K5" s="288" t="s">
        <v>1144</v>
      </c>
      <c r="L5" s="197" t="s">
        <v>1022</v>
      </c>
      <c r="M5" s="287" t="s">
        <v>1145</v>
      </c>
    </row>
    <row r="6" spans="2:13" ht="62.1" customHeight="1" thickBot="1">
      <c r="B6" s="814" t="s">
        <v>508</v>
      </c>
      <c r="C6" s="821" t="s">
        <v>509</v>
      </c>
      <c r="D6" s="281" t="s">
        <v>1146</v>
      </c>
      <c r="E6" s="203">
        <v>1</v>
      </c>
      <c r="F6" s="282" t="s">
        <v>1147</v>
      </c>
      <c r="G6" s="283">
        <v>60480</v>
      </c>
      <c r="H6" s="284">
        <f>+I6/$H$3</f>
        <v>7.6914861207789924</v>
      </c>
      <c r="I6" s="207">
        <f>M6*L6</f>
        <v>33728.310438035784</v>
      </c>
      <c r="J6" s="399">
        <f>+H6*G6</f>
        <v>465181.08058471343</v>
      </c>
      <c r="K6" s="208">
        <f>+I6*G6</f>
        <v>2039888215.2924042</v>
      </c>
      <c r="L6" s="421">
        <f>0.65*ipc/ipc_base+0.35*fac_mano_obra*trm/trm_base</f>
        <v>1</v>
      </c>
      <c r="M6" s="207">
        <v>33728.310438035784</v>
      </c>
    </row>
    <row r="7" spans="2:13" ht="29.1" customHeight="1" thickBot="1">
      <c r="B7" s="814"/>
      <c r="C7" s="821"/>
      <c r="D7" s="525" t="s">
        <v>1148</v>
      </c>
      <c r="E7" s="478">
        <v>1</v>
      </c>
      <c r="F7" s="526" t="s">
        <v>984</v>
      </c>
      <c r="G7" s="527">
        <v>1</v>
      </c>
      <c r="H7" s="528">
        <f>+I7/$H$3</f>
        <v>65727.245032111387</v>
      </c>
      <c r="I7" s="529">
        <f>M7*L7</f>
        <v>288223743.74321485</v>
      </c>
      <c r="J7" s="518">
        <f>+H7*G7</f>
        <v>65727.245032111387</v>
      </c>
      <c r="K7" s="530">
        <f>+I7*G7</f>
        <v>288223743.74321485</v>
      </c>
      <c r="L7" s="421">
        <f>0.65*ipc/ipc_base+0.35*fac_mano_obra*trm/trm_base</f>
        <v>1</v>
      </c>
      <c r="M7" s="529">
        <v>288223743.74321485</v>
      </c>
    </row>
    <row r="8" spans="2:13">
      <c r="I8" s="536">
        <f>SUM(I6:I7)</f>
        <v>288257472.05365288</v>
      </c>
      <c r="J8" s="536">
        <f>SUM(J6:J7)</f>
        <v>530908.32561682479</v>
      </c>
      <c r="K8" s="536">
        <f>SUM(K6:K7)</f>
        <v>2328111959.0356188</v>
      </c>
    </row>
    <row r="9" spans="2:13" ht="13.5" thickBot="1"/>
    <row r="10" spans="2:13" ht="37.5" customHeight="1" thickBot="1">
      <c r="B10" s="814" t="s">
        <v>510</v>
      </c>
      <c r="C10" s="821" t="s">
        <v>511</v>
      </c>
      <c r="D10" s="281" t="s">
        <v>1149</v>
      </c>
      <c r="E10" s="203">
        <v>0</v>
      </c>
      <c r="F10" s="282" t="s">
        <v>1147</v>
      </c>
      <c r="G10" s="283">
        <v>0</v>
      </c>
      <c r="H10" s="284">
        <f>+I10/$H$3</f>
        <v>0</v>
      </c>
      <c r="I10" s="207">
        <v>0</v>
      </c>
      <c r="J10" s="399">
        <f>+H10*G10</f>
        <v>0</v>
      </c>
      <c r="K10" s="208">
        <v>0</v>
      </c>
      <c r="L10" s="531"/>
      <c r="M10" s="207">
        <v>0</v>
      </c>
    </row>
    <row r="11" spans="2:13" ht="58.5" customHeight="1" thickBot="1">
      <c r="B11" s="814"/>
      <c r="C11" s="821"/>
      <c r="D11" s="525" t="s">
        <v>1150</v>
      </c>
      <c r="E11" s="478">
        <v>1</v>
      </c>
      <c r="F11" s="526" t="s">
        <v>984</v>
      </c>
      <c r="G11" s="527">
        <v>1</v>
      </c>
      <c r="H11" s="528">
        <f>+I11/$H$3</f>
        <v>76914.861207789916</v>
      </c>
      <c r="I11" s="529">
        <f>M11*L11</f>
        <v>337283104.3803578</v>
      </c>
      <c r="J11" s="518">
        <f>+H11*G11</f>
        <v>76914.861207789916</v>
      </c>
      <c r="K11" s="530">
        <f>+I11*G11</f>
        <v>337283104.3803578</v>
      </c>
      <c r="L11" s="421">
        <f>0.65*ipc/ipc_base+0.35*fac_mano_obra*trm/trm_base</f>
        <v>1</v>
      </c>
      <c r="M11" s="529">
        <v>337283104.3803578</v>
      </c>
    </row>
    <row r="12" spans="2:13">
      <c r="I12" s="536">
        <f>SUM(I10:I11)</f>
        <v>337283104.3803578</v>
      </c>
      <c r="J12" s="536">
        <f>SUM(J10:J11)</f>
        <v>76914.861207789916</v>
      </c>
      <c r="K12" s="536">
        <f>SUM(K10:K11)</f>
        <v>337283104.3803578</v>
      </c>
    </row>
    <row r="13" spans="2:13" ht="13.5" thickBot="1"/>
    <row r="14" spans="2:13" ht="99.75" customHeight="1" thickBot="1">
      <c r="B14" s="814" t="s">
        <v>512</v>
      </c>
      <c r="C14" s="815" t="s">
        <v>513</v>
      </c>
      <c r="D14" s="281" t="s">
        <v>1151</v>
      </c>
      <c r="E14" s="203">
        <v>1</v>
      </c>
      <c r="F14" s="282" t="s">
        <v>1147</v>
      </c>
      <c r="G14" s="283">
        <v>8034</v>
      </c>
      <c r="H14" s="284">
        <f>+I14/$H$3</f>
        <v>7.6914861207789924</v>
      </c>
      <c r="I14" s="207">
        <f>M14*L14</f>
        <v>33728.310438035784</v>
      </c>
      <c r="J14" s="399">
        <f>+H14*G14</f>
        <v>61793.399494338424</v>
      </c>
      <c r="K14" s="208">
        <f>+I14*G14</f>
        <v>270973246.05917948</v>
      </c>
      <c r="L14" s="421">
        <f>0.65*ipc/ipc_base+0.35*fac_mano_obra*trm/trm_base</f>
        <v>1</v>
      </c>
      <c r="M14" s="207">
        <v>33728.310438035784</v>
      </c>
    </row>
    <row r="15" spans="2:13" ht="40.5" customHeight="1" thickBot="1">
      <c r="B15" s="814"/>
      <c r="C15" s="815"/>
      <c r="D15" s="525" t="s">
        <v>1152</v>
      </c>
      <c r="E15" s="478">
        <v>1</v>
      </c>
      <c r="F15" s="526" t="s">
        <v>984</v>
      </c>
      <c r="G15" s="527">
        <v>1</v>
      </c>
      <c r="H15" s="528">
        <f>+I15/$H$3</f>
        <v>37758.204592915055</v>
      </c>
      <c r="I15" s="529">
        <f>M15*L15</f>
        <v>165575342.15035748</v>
      </c>
      <c r="J15" s="518">
        <f>+H15*G15</f>
        <v>37758.204592915055</v>
      </c>
      <c r="K15" s="530">
        <f>+I15*G15</f>
        <v>165575342.15035748</v>
      </c>
      <c r="L15" s="421">
        <f>0.65*ipc/ipc_base+0.35*fac_mano_obra*trm/trm_base</f>
        <v>1</v>
      </c>
      <c r="M15" s="529">
        <v>165575342.15035748</v>
      </c>
    </row>
    <row r="16" spans="2:13">
      <c r="I16" s="536">
        <f>SUM(I14:I15)</f>
        <v>165609070.46079552</v>
      </c>
      <c r="J16" s="536">
        <f>SUM(J14:J15)</f>
        <v>99551.60408725348</v>
      </c>
      <c r="K16" s="536">
        <f>SUM(K14:K15)</f>
        <v>436548588.20953697</v>
      </c>
    </row>
    <row r="17" spans="2:13" ht="13.5" thickBot="1"/>
    <row r="18" spans="2:13" ht="68.25" customHeight="1" thickBot="1">
      <c r="B18" s="280" t="s">
        <v>514</v>
      </c>
      <c r="C18" s="285" t="s">
        <v>515</v>
      </c>
      <c r="D18" s="525" t="s">
        <v>1153</v>
      </c>
      <c r="E18" s="478">
        <v>0</v>
      </c>
      <c r="F18" s="526" t="s">
        <v>984</v>
      </c>
      <c r="G18" s="532">
        <v>0</v>
      </c>
      <c r="H18" s="528">
        <f>+I18/$H$3</f>
        <v>7.6914861207789924</v>
      </c>
      <c r="I18" s="533">
        <f>+I6*L18</f>
        <v>33728.310438035784</v>
      </c>
      <c r="J18" s="518">
        <f>+H18*G18</f>
        <v>0</v>
      </c>
      <c r="K18" s="530">
        <f>+I18*G18</f>
        <v>0</v>
      </c>
      <c r="L18" s="421">
        <f>0.65*ipc/ipc_base+0.35*fac_mano_obra*trm/trm_base</f>
        <v>1</v>
      </c>
      <c r="M18" s="533"/>
    </row>
    <row r="20" spans="2:13" ht="13.5" thickBot="1"/>
    <row r="21" spans="2:13" ht="99.75" customHeight="1" thickBot="1">
      <c r="B21" s="814" t="s">
        <v>516</v>
      </c>
      <c r="C21" s="816" t="s">
        <v>1154</v>
      </c>
      <c r="D21" s="281" t="s">
        <v>1151</v>
      </c>
      <c r="E21" s="203">
        <v>1</v>
      </c>
      <c r="F21" s="282" t="s">
        <v>1147</v>
      </c>
      <c r="G21" s="283">
        <v>8034</v>
      </c>
      <c r="H21" s="284">
        <f>+I21/$H$3</f>
        <v>7.6914861207789924</v>
      </c>
      <c r="I21" s="207">
        <f>M21*L21</f>
        <v>33728.310438035784</v>
      </c>
      <c r="J21" s="399">
        <f>+H21*G21</f>
        <v>61793.399494338424</v>
      </c>
      <c r="K21" s="208">
        <f>+I21*G21</f>
        <v>270973246.05917948</v>
      </c>
      <c r="L21" s="421">
        <f>0.65*ipc/ipc_base+0.35*fac_mano_obra*trm/trm_base</f>
        <v>1</v>
      </c>
      <c r="M21" s="207">
        <v>33728.310438035784</v>
      </c>
    </row>
    <row r="22" spans="2:13" ht="43.5" customHeight="1" thickBot="1">
      <c r="B22" s="814"/>
      <c r="C22" s="817"/>
      <c r="D22" s="525" t="s">
        <v>1152</v>
      </c>
      <c r="E22" s="478">
        <v>1</v>
      </c>
      <c r="F22" s="526" t="s">
        <v>984</v>
      </c>
      <c r="G22" s="527">
        <v>1</v>
      </c>
      <c r="H22" s="528">
        <f>+I22/$H$3</f>
        <v>37758.204592915055</v>
      </c>
      <c r="I22" s="529">
        <f>M22*L22</f>
        <v>165575342.15035748</v>
      </c>
      <c r="J22" s="518">
        <f>+H22*G22</f>
        <v>37758.204592915055</v>
      </c>
      <c r="K22" s="530">
        <f>+I22*G22</f>
        <v>165575342.15035748</v>
      </c>
      <c r="L22" s="421">
        <f>0.65*ipc/ipc_base+0.35*fac_mano_obra*trm/trm_base</f>
        <v>1</v>
      </c>
      <c r="M22" s="529">
        <v>165575342.15035748</v>
      </c>
    </row>
    <row r="23" spans="2:13">
      <c r="I23" s="536">
        <f>SUM(I21:I22)</f>
        <v>165609070.46079552</v>
      </c>
      <c r="J23" s="536">
        <f>SUM(J21:J22)</f>
        <v>99551.60408725348</v>
      </c>
      <c r="K23" s="536">
        <f>SUM(K21:K22)</f>
        <v>436548588.20953697</v>
      </c>
    </row>
    <row r="24" spans="2:13" ht="13.5" thickBot="1"/>
    <row r="25" spans="2:13" ht="40.35" customHeight="1" thickBot="1">
      <c r="B25" s="280" t="s">
        <v>518</v>
      </c>
      <c r="C25" s="285" t="s">
        <v>519</v>
      </c>
      <c r="D25" s="525" t="s">
        <v>1155</v>
      </c>
      <c r="E25" s="478">
        <v>0</v>
      </c>
      <c r="F25" s="526" t="s">
        <v>984</v>
      </c>
      <c r="G25" s="527">
        <v>1</v>
      </c>
      <c r="H25" s="528">
        <f>+I25/$H$3</f>
        <v>0</v>
      </c>
      <c r="I25" s="529">
        <f>M25*L25</f>
        <v>0</v>
      </c>
      <c r="J25" s="518">
        <f>+H25*G25</f>
        <v>0</v>
      </c>
      <c r="K25" s="530">
        <f>+I25*G25</f>
        <v>0</v>
      </c>
      <c r="L25" s="421">
        <f>0.65*ipc/ipc_base+0.35*fac_mano_obra*trm/trm_base</f>
        <v>1</v>
      </c>
      <c r="M25" s="529">
        <v>0</v>
      </c>
    </row>
    <row r="27" spans="2:13" ht="13.5" thickBot="1"/>
    <row r="28" spans="2:13" ht="75.75" thickBot="1">
      <c r="B28" s="280" t="s">
        <v>520</v>
      </c>
      <c r="C28" s="285" t="s">
        <v>51</v>
      </c>
      <c r="D28" s="525" t="s">
        <v>1156</v>
      </c>
      <c r="E28" s="478">
        <v>1</v>
      </c>
      <c r="F28" s="526">
        <v>180</v>
      </c>
      <c r="G28" s="527" t="s">
        <v>1100</v>
      </c>
      <c r="H28" s="528">
        <f>+I28/$H$3</f>
        <v>1597.5915898868946</v>
      </c>
      <c r="I28" s="529">
        <f>M28*L28</f>
        <v>7005676.6989840139</v>
      </c>
      <c r="J28" s="518">
        <f>+H28*F28*E28</f>
        <v>287566.48617964104</v>
      </c>
      <c r="K28" s="530">
        <f>+I28*F28*E28</f>
        <v>1261021805.8171225</v>
      </c>
      <c r="L28" s="421">
        <f>0.65*ipc/ipc_base+0.35*fac_mano_obra*trm/trm_base</f>
        <v>1</v>
      </c>
      <c r="M28" s="529">
        <v>7005676.6989840139</v>
      </c>
    </row>
    <row r="30" spans="2:13" ht="13.5" thickBot="1"/>
    <row r="31" spans="2:13" ht="90.75" thickBot="1">
      <c r="B31" s="280" t="s">
        <v>521</v>
      </c>
      <c r="C31" s="285" t="s">
        <v>522</v>
      </c>
      <c r="D31" s="525" t="s">
        <v>1157</v>
      </c>
      <c r="E31" s="478">
        <v>1</v>
      </c>
      <c r="F31" s="526">
        <v>280</v>
      </c>
      <c r="G31" s="527" t="s">
        <v>1100</v>
      </c>
      <c r="H31" s="528">
        <f>+I31/$H$3</f>
        <v>1104.2177165394712</v>
      </c>
      <c r="I31" s="529">
        <f>M31*L31</f>
        <v>4842158.8948860094</v>
      </c>
      <c r="J31" s="518">
        <f>+H31*F31*E31</f>
        <v>309180.96063105192</v>
      </c>
      <c r="K31" s="530">
        <f>+I31*F31*E31</f>
        <v>1355804490.5680826</v>
      </c>
      <c r="L31" s="421">
        <f>0.65*ipc/ipc_base+0.35*fac_mano_obra*trm/trm_base</f>
        <v>1</v>
      </c>
      <c r="M31" s="529">
        <v>4842158.8948860094</v>
      </c>
    </row>
    <row r="33" spans="2:13" ht="13.5" thickBot="1"/>
    <row r="34" spans="2:13" ht="90.75" thickBot="1">
      <c r="B34" s="280" t="s">
        <v>523</v>
      </c>
      <c r="C34" s="285" t="s">
        <v>44</v>
      </c>
      <c r="D34" s="525" t="s">
        <v>1158</v>
      </c>
      <c r="E34" s="478">
        <v>1</v>
      </c>
      <c r="F34" s="526">
        <v>180</v>
      </c>
      <c r="G34" s="527" t="s">
        <v>1100</v>
      </c>
      <c r="H34" s="528">
        <f>+I34/$H$3</f>
        <v>1104.2177165394712</v>
      </c>
      <c r="I34" s="529">
        <f>M34*L34</f>
        <v>4842158.8948860094</v>
      </c>
      <c r="J34" s="518">
        <f>+H34*F34*E34</f>
        <v>198759.18897710482</v>
      </c>
      <c r="K34" s="530">
        <f>+I34*F34*E34</f>
        <v>871588601.07948172</v>
      </c>
      <c r="L34" s="421">
        <f>0.65*ipc/ipc_base+0.35*fac_mano_obra*trm/trm_base</f>
        <v>1</v>
      </c>
      <c r="M34" s="529">
        <v>4842158.8948860094</v>
      </c>
    </row>
    <row r="36" spans="2:13" ht="13.5" thickBot="1"/>
    <row r="37" spans="2:13" ht="45.75" thickBot="1">
      <c r="B37" s="280" t="s">
        <v>524</v>
      </c>
      <c r="C37" s="285" t="s">
        <v>1159</v>
      </c>
      <c r="D37" s="525" t="s">
        <v>1160</v>
      </c>
      <c r="E37" s="478">
        <v>1</v>
      </c>
      <c r="F37" s="526">
        <v>400</v>
      </c>
      <c r="G37" s="527" t="s">
        <v>1100</v>
      </c>
      <c r="H37" s="528">
        <f>+I37/$H$3</f>
        <v>1641.223292972041</v>
      </c>
      <c r="I37" s="529">
        <f>M37*L37</f>
        <v>7197008.2054688716</v>
      </c>
      <c r="J37" s="518">
        <f>+H37*F37*E37</f>
        <v>656489.31718881638</v>
      </c>
      <c r="K37" s="530">
        <f>+I37*F37*E37</f>
        <v>2878803282.1875486</v>
      </c>
      <c r="L37" s="421">
        <f>0.65*ipc/ipc_base+0.35*fac_mano_obra*trm/trm_base</f>
        <v>1</v>
      </c>
      <c r="M37" s="529">
        <v>7197008.2054688716</v>
      </c>
    </row>
    <row r="38" spans="2:13">
      <c r="B38" s="198"/>
      <c r="C38" s="233"/>
    </row>
    <row r="39" spans="2:13" ht="13.5" thickBot="1">
      <c r="B39" s="198"/>
      <c r="C39" s="233"/>
    </row>
    <row r="40" spans="2:13" ht="30.75" thickBot="1">
      <c r="B40" s="280" t="s">
        <v>525</v>
      </c>
      <c r="C40" s="285" t="s">
        <v>526</v>
      </c>
      <c r="D40" s="525" t="s">
        <v>1161</v>
      </c>
      <c r="E40" s="478">
        <v>0</v>
      </c>
      <c r="F40" s="526" t="s">
        <v>984</v>
      </c>
      <c r="G40" s="527">
        <v>1</v>
      </c>
      <c r="H40" s="528">
        <f>+I40/$H$3</f>
        <v>0</v>
      </c>
      <c r="I40" s="529">
        <f>M40*L40</f>
        <v>0</v>
      </c>
      <c r="J40" s="518">
        <f>+H40*G40</f>
        <v>0</v>
      </c>
      <c r="K40" s="530">
        <f>+I40*G40</f>
        <v>0</v>
      </c>
      <c r="L40" s="421">
        <f>0.65*ipc/ipc_base+0.35*fac_mano_obra*trm/trm_base</f>
        <v>1</v>
      </c>
      <c r="M40" s="529">
        <v>0</v>
      </c>
    </row>
    <row r="41" spans="2:13">
      <c r="B41" s="198"/>
      <c r="C41" s="233"/>
    </row>
    <row r="42" spans="2:13" ht="13.5" thickBot="1">
      <c r="B42" s="198"/>
      <c r="C42" s="233"/>
    </row>
    <row r="43" spans="2:13" ht="45.75" thickBot="1">
      <c r="B43" s="280" t="s">
        <v>527</v>
      </c>
      <c r="C43" s="285" t="s">
        <v>60</v>
      </c>
      <c r="D43" s="525" t="s">
        <v>1162</v>
      </c>
      <c r="E43" s="478">
        <v>1</v>
      </c>
      <c r="F43" s="526">
        <v>120</v>
      </c>
      <c r="G43" s="527" t="s">
        <v>1100</v>
      </c>
      <c r="H43" s="528">
        <f>+I43/$H$3</f>
        <v>699.22601097990844</v>
      </c>
      <c r="I43" s="529">
        <f>M43*L43</f>
        <v>3066210.0398214348</v>
      </c>
      <c r="J43" s="518">
        <f>+H43*F43*E43</f>
        <v>83907.121317589015</v>
      </c>
      <c r="K43" s="530">
        <f>+I43*F43*E43</f>
        <v>367945204.7785722</v>
      </c>
      <c r="L43" s="421">
        <f>0.65*ipc/ipc_base+0.35*fac_mano_obra*trm/trm_base</f>
        <v>1</v>
      </c>
      <c r="M43" s="529">
        <v>3066210.0398214348</v>
      </c>
    </row>
    <row r="44" spans="2:13" ht="13.5" thickBot="1"/>
    <row r="45" spans="2:13" ht="16.5" thickBot="1">
      <c r="G45" s="818" t="s">
        <v>1163</v>
      </c>
      <c r="H45" s="819"/>
      <c r="I45" s="819"/>
      <c r="J45" s="534">
        <f>SUM(J6:J43)</f>
        <v>3149755.8642924461</v>
      </c>
      <c r="K45" s="535">
        <f>SUM(K6:K43)</f>
        <v>13812147864.100906</v>
      </c>
    </row>
  </sheetData>
  <sheetProtection algorithmName="SHA-512" hashValue="3QXoG12gxUQU9KbrLASXtbvZ5/pzT7syv1KVQdmrUhxN5jv2Uj8XrF03PEfAxhmqfeBDPtjthVQr1LvNqxwd4g==" saltValue="jgrN7zLhfqbe8wOcqqaIaQ==" spinCount="100000"/>
  <mergeCells count="10">
    <mergeCell ref="B3:C3"/>
    <mergeCell ref="B6:B7"/>
    <mergeCell ref="C6:C7"/>
    <mergeCell ref="B10:B11"/>
    <mergeCell ref="C10:C11"/>
    <mergeCell ref="B14:B15"/>
    <mergeCell ref="C14:C15"/>
    <mergeCell ref="B21:B22"/>
    <mergeCell ref="C21:C22"/>
    <mergeCell ref="G45:I45"/>
  </mergeCells>
  <pageMargins left="0.7" right="0.7" top="0.75" bottom="0.75" header="0.51180555555555496" footer="0.51180555555555496"/>
  <pageSetup firstPageNumber="0" orientation="portrait"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37">
    <tabColor rgb="FFF4B183"/>
  </sheetPr>
  <dimension ref="B2:P20"/>
  <sheetViews>
    <sheetView showGridLines="0" showRowColHeaders="0" topLeftCell="D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13.85546875" customWidth="1"/>
    <col min="4" max="4" width="70.140625" style="121" customWidth="1"/>
    <col min="5" max="5" width="11.140625" style="121" customWidth="1"/>
    <col min="6" max="6" width="10.140625" style="121" customWidth="1"/>
    <col min="7" max="7" width="8.42578125" style="121" customWidth="1"/>
    <col min="8" max="8" width="15.140625" style="121" customWidth="1"/>
    <col min="9" max="9" width="15.7109375" style="121" customWidth="1"/>
    <col min="10" max="10" width="16" style="121" customWidth="1"/>
    <col min="11" max="11" width="16.28515625" style="121" customWidth="1"/>
    <col min="12" max="12" width="18" customWidth="1"/>
    <col min="13" max="13" width="12.85546875" customWidth="1"/>
    <col min="14" max="14" width="11" bestFit="1" customWidth="1"/>
    <col min="15" max="1025" width="8.42578125" customWidth="1"/>
  </cols>
  <sheetData>
    <row r="2" spans="2:16" ht="13.5" thickBot="1">
      <c r="K2"/>
    </row>
    <row r="3" spans="2:16" ht="13.5" thickBot="1">
      <c r="G3" s="228"/>
      <c r="H3" s="195" t="s">
        <v>129</v>
      </c>
      <c r="I3" s="441">
        <f>trm</f>
        <v>4385.1487096774199</v>
      </c>
      <c r="K3"/>
    </row>
    <row r="4" spans="2:16" ht="13.5" thickBot="1"/>
    <row r="5" spans="2:16" s="229" customFormat="1" ht="39" customHeight="1" thickBot="1">
      <c r="C5" s="512" t="s">
        <v>1025</v>
      </c>
      <c r="D5" s="287" t="s">
        <v>968</v>
      </c>
      <c r="E5" s="287" t="s">
        <v>969</v>
      </c>
      <c r="F5" s="287" t="s">
        <v>970</v>
      </c>
      <c r="G5" s="287" t="s">
        <v>715</v>
      </c>
      <c r="H5" s="287" t="s">
        <v>971</v>
      </c>
      <c r="I5" s="287" t="s">
        <v>972</v>
      </c>
      <c r="J5" s="287" t="s">
        <v>973</v>
      </c>
      <c r="K5" s="287" t="s">
        <v>974</v>
      </c>
      <c r="L5" s="480" t="s">
        <v>1164</v>
      </c>
      <c r="M5" s="502" t="s">
        <v>1022</v>
      </c>
      <c r="N5" s="287" t="s">
        <v>976</v>
      </c>
    </row>
    <row r="7" spans="2:16">
      <c r="K7" s="230"/>
    </row>
    <row r="8" spans="2:16" ht="15">
      <c r="B8">
        <v>3.2</v>
      </c>
      <c r="C8" s="252" t="s">
        <v>77</v>
      </c>
      <c r="K8" s="230"/>
    </row>
    <row r="9" spans="2:16" ht="13.5" thickBot="1">
      <c r="K9" s="230"/>
    </row>
    <row r="10" spans="2:16" ht="80.25" customHeight="1" thickBot="1">
      <c r="B10" s="478" t="s">
        <v>528</v>
      </c>
      <c r="C10" s="513" t="s">
        <v>1165</v>
      </c>
      <c r="D10" s="522" t="s">
        <v>1166</v>
      </c>
      <c r="E10" s="514">
        <v>1</v>
      </c>
      <c r="F10" s="515">
        <v>1600</v>
      </c>
      <c r="G10" s="514" t="s">
        <v>1018</v>
      </c>
      <c r="H10" s="516">
        <f>+I10/$I$3</f>
        <v>106.79133539853834</v>
      </c>
      <c r="I10" s="516">
        <f>N10*'Modelo Caudal - PIPING'!C8*M10</f>
        <v>468295.88662762899</v>
      </c>
      <c r="J10" s="518">
        <f>+H10*F10*E10</f>
        <v>170866.13663766134</v>
      </c>
      <c r="K10" s="516">
        <f>+I10*F10*E10</f>
        <v>749273418.60420644</v>
      </c>
      <c r="L10" s="523" t="s">
        <v>1098</v>
      </c>
      <c r="M10" s="421">
        <f>0.65*ipc/ipc_base+0.35*fac_mano_obra*trm/trm_base</f>
        <v>1</v>
      </c>
      <c r="N10" s="516">
        <f>(394500*4)*M10</f>
        <v>1578000</v>
      </c>
      <c r="P10" s="395"/>
    </row>
    <row r="11" spans="2:16" ht="15.75" thickBot="1">
      <c r="H11" s="250"/>
      <c r="J11" s="250"/>
      <c r="K11" s="250"/>
      <c r="N11" s="121"/>
    </row>
    <row r="12" spans="2:16" s="250" customFormat="1" ht="84.75" customHeight="1" thickBot="1">
      <c r="B12" s="478" t="s">
        <v>530</v>
      </c>
      <c r="C12" s="513" t="s">
        <v>1167</v>
      </c>
      <c r="D12" s="522" t="s">
        <v>1168</v>
      </c>
      <c r="E12" s="514">
        <v>1</v>
      </c>
      <c r="F12" s="515">
        <v>200</v>
      </c>
      <c r="G12" s="514" t="s">
        <v>1018</v>
      </c>
      <c r="H12" s="516">
        <f>+I12/$I$3</f>
        <v>397.16037423658798</v>
      </c>
      <c r="I12" s="520">
        <f>N12*M12</f>
        <v>1741607.302618575</v>
      </c>
      <c r="J12" s="518">
        <f>+H12*F12*E12</f>
        <v>79432.074847317592</v>
      </c>
      <c r="K12" s="516">
        <f>+I12*F12*E12</f>
        <v>348321460.52371502</v>
      </c>
      <c r="L12" s="524"/>
      <c r="M12" s="421">
        <f>0.65*ipc/ipc_base+0.35*fac_mano_obra*trm/trm_base</f>
        <v>1</v>
      </c>
      <c r="N12" s="520">
        <v>1741607.302618575</v>
      </c>
    </row>
    <row r="13" spans="2:16" ht="15.75" customHeight="1" thickBot="1">
      <c r="B13" s="121"/>
      <c r="C13" s="254"/>
      <c r="D13" s="233"/>
      <c r="F13" s="249"/>
      <c r="H13" s="250"/>
      <c r="I13" s="250"/>
      <c r="J13" s="250"/>
      <c r="K13" s="250"/>
      <c r="M13" s="250"/>
    </row>
    <row r="14" spans="2:16" ht="15.75" thickBot="1">
      <c r="D14" s="286"/>
      <c r="G14" s="784" t="s">
        <v>1169</v>
      </c>
      <c r="H14" s="785"/>
      <c r="I14" s="785"/>
      <c r="J14" s="518">
        <f>SUM(J10:J12)</f>
        <v>250298.21148497894</v>
      </c>
      <c r="K14" s="521">
        <f>SUM(K10:K12)</f>
        <v>1097594879.1279216</v>
      </c>
      <c r="M14" s="250"/>
    </row>
    <row r="15" spans="2:16" ht="15">
      <c r="D15" s="286"/>
      <c r="M15" s="250"/>
    </row>
    <row r="16" spans="2:16" ht="15">
      <c r="D16" s="286"/>
      <c r="M16" s="250"/>
    </row>
    <row r="17" spans="4:4" ht="15">
      <c r="D17" s="286"/>
    </row>
    <row r="18" spans="4:4" ht="15">
      <c r="D18" s="286"/>
    </row>
    <row r="19" spans="4:4" ht="15">
      <c r="D19" s="286"/>
    </row>
    <row r="20" spans="4:4" ht="15">
      <c r="D20" s="286"/>
    </row>
  </sheetData>
  <sheetProtection algorithmName="SHA-512" hashValue="wsCBiySKwgCI/UY1Bcvxoixa58O+xzbHsSV7JNqpbN2oYkANCKOmEsjC1OEhtVp85YKToA69F1BskCBozyMh+g==" saltValue="KTAFEbHOzOl+hdxbq0LvCw==" spinCount="100000"/>
  <mergeCells count="1">
    <mergeCell ref="G14:I14"/>
  </mergeCells>
  <pageMargins left="0.7" right="0.7" top="0.75" bottom="0.75" header="0.51180555555555496" footer="0.51180555555555496"/>
  <pageSetup firstPageNumber="0" orientation="portrait"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38">
    <tabColor rgb="FFF4B183"/>
  </sheetPr>
  <dimension ref="B2:M17"/>
  <sheetViews>
    <sheetView showGridLines="0" showRowColHeaders="0" topLeftCell="D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34.85546875" customWidth="1"/>
    <col min="4" max="4" width="68.42578125" style="121" customWidth="1"/>
    <col min="5" max="5" width="11" style="121" customWidth="1"/>
    <col min="6" max="6" width="10.140625" style="121" customWidth="1"/>
    <col min="7" max="7" width="8.42578125" style="121" customWidth="1"/>
    <col min="8" max="9" width="14.140625" style="121" customWidth="1"/>
    <col min="10" max="10" width="11.42578125" style="121" customWidth="1"/>
    <col min="11" max="11" width="13" style="121" customWidth="1"/>
    <col min="12" max="12" width="12.28515625" customWidth="1"/>
    <col min="13" max="13" width="14.140625" bestFit="1" customWidth="1"/>
    <col min="14" max="1025" width="8.42578125" customWidth="1"/>
  </cols>
  <sheetData>
    <row r="2" spans="2:13" ht="13.5" thickBot="1">
      <c r="K2"/>
    </row>
    <row r="3" spans="2:13" ht="13.5" thickBot="1">
      <c r="G3" s="228"/>
      <c r="H3" s="195" t="s">
        <v>129</v>
      </c>
      <c r="I3" s="441">
        <f>trm</f>
        <v>4385.1487096774199</v>
      </c>
      <c r="K3"/>
    </row>
    <row r="4" spans="2:13" ht="13.5" thickBot="1"/>
    <row r="5" spans="2:13" s="229" customFormat="1" ht="39" customHeight="1" thickBot="1">
      <c r="C5" s="512" t="s">
        <v>967</v>
      </c>
      <c r="D5" s="287" t="s">
        <v>968</v>
      </c>
      <c r="E5" s="287" t="s">
        <v>969</v>
      </c>
      <c r="F5" s="287" t="s">
        <v>970</v>
      </c>
      <c r="G5" s="287" t="s">
        <v>715</v>
      </c>
      <c r="H5" s="287" t="s">
        <v>971</v>
      </c>
      <c r="I5" s="287" t="s">
        <v>972</v>
      </c>
      <c r="J5" s="287" t="s">
        <v>973</v>
      </c>
      <c r="K5" s="480" t="s">
        <v>974</v>
      </c>
      <c r="L5" s="502" t="s">
        <v>1022</v>
      </c>
      <c r="M5" s="287" t="s">
        <v>976</v>
      </c>
    </row>
    <row r="6" spans="2:13" ht="13.5" thickBot="1"/>
    <row r="7" spans="2:13" ht="15">
      <c r="B7" s="23">
        <v>3.3</v>
      </c>
      <c r="C7" s="19" t="s">
        <v>532</v>
      </c>
      <c r="K7" s="230"/>
    </row>
    <row r="8" spans="2:13" ht="13.5" thickBot="1">
      <c r="K8" s="230"/>
    </row>
    <row r="9" spans="2:13" ht="80.25" customHeight="1" thickBot="1">
      <c r="B9" s="478" t="s">
        <v>533</v>
      </c>
      <c r="C9" s="513" t="s">
        <v>534</v>
      </c>
      <c r="D9" s="513" t="s">
        <v>1170</v>
      </c>
      <c r="E9" s="514">
        <v>1</v>
      </c>
      <c r="F9" s="515">
        <v>1</v>
      </c>
      <c r="G9" s="514" t="s">
        <v>980</v>
      </c>
      <c r="H9" s="516">
        <f>+I9/$I$3</f>
        <v>83907.121317589015</v>
      </c>
      <c r="I9" s="520">
        <f>M9*L9</f>
        <v>367945204.7785722</v>
      </c>
      <c r="J9" s="518">
        <f>+H9*F9*E9</f>
        <v>83907.121317589015</v>
      </c>
      <c r="K9" s="516">
        <f>+I9*F9*E9</f>
        <v>367945204.7785722</v>
      </c>
      <c r="L9" s="421">
        <f>0.65*ipc/ipc_base+0.35*fac_mano_obra*trm/trm_base</f>
        <v>1</v>
      </c>
      <c r="M9" s="520">
        <v>367945204.7785722</v>
      </c>
    </row>
    <row r="10" spans="2:13" ht="15.75" thickBot="1">
      <c r="H10" s="250"/>
      <c r="J10" s="250"/>
      <c r="K10" s="250"/>
    </row>
    <row r="11" spans="2:13" ht="15.75" thickBot="1">
      <c r="D11" s="286"/>
      <c r="G11" s="784" t="s">
        <v>1171</v>
      </c>
      <c r="H11" s="785"/>
      <c r="I11" s="785"/>
      <c r="J11" s="518">
        <f>SUM(J9:J10)</f>
        <v>83907.121317589015</v>
      </c>
      <c r="K11" s="521">
        <f>SUM(K9:K10)</f>
        <v>367945204.7785722</v>
      </c>
      <c r="L11" s="34"/>
    </row>
    <row r="12" spans="2:13" ht="15">
      <c r="D12" s="286"/>
    </row>
    <row r="13" spans="2:13" ht="15">
      <c r="D13" s="286"/>
    </row>
    <row r="14" spans="2:13" s="121" customFormat="1" ht="15">
      <c r="D14" s="286"/>
    </row>
    <row r="15" spans="2:13" s="121" customFormat="1" ht="15">
      <c r="D15" s="286"/>
    </row>
    <row r="16" spans="2:13" s="121" customFormat="1" ht="15">
      <c r="D16" s="286"/>
    </row>
    <row r="17" spans="4:4" s="121" customFormat="1" ht="15">
      <c r="D17" s="286"/>
    </row>
  </sheetData>
  <sheetProtection algorithmName="SHA-512" hashValue="JS/FGx+KLj3BIivqsm3jMQ5vzOZUZ2duebJsRuoOHI++/g83lXTp8NEJGLaJ6qDZooGg7VSaDbiogFDlnyBrzQ==" saltValue="xluoBlDOJFeDhQsRaCz2Ug==" spinCount="100000"/>
  <mergeCells count="1">
    <mergeCell ref="G11:I11"/>
  </mergeCells>
  <pageMargins left="0.7" right="0.7" top="0.75" bottom="0.75" header="0.51180555555555496" footer="0.51180555555555496"/>
  <pageSetup firstPageNumber="0" orientation="portrait" horizontalDpi="300" verticalDpi="30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39">
    <tabColor rgb="FFF4B183"/>
  </sheetPr>
  <dimension ref="B2:P13"/>
  <sheetViews>
    <sheetView showGridLines="0" showRowColHeaders="0" topLeftCell="D1" zoomScaleNormal="100" workbookViewId="0">
      <pane ySplit="5" topLeftCell="A6"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7.42578125" customWidth="1"/>
    <col min="3" max="3" width="40.28515625" customWidth="1"/>
    <col min="4" max="4" width="68.42578125" style="121" customWidth="1"/>
    <col min="5" max="5" width="11" style="121" customWidth="1"/>
    <col min="6" max="6" width="10.140625" style="121" customWidth="1"/>
    <col min="7" max="7" width="7.28515625" style="121" customWidth="1"/>
    <col min="8" max="8" width="14.140625" style="121" customWidth="1"/>
    <col min="9" max="9" width="18.140625" style="121" customWidth="1"/>
    <col min="10" max="10" width="11.42578125" style="121" customWidth="1"/>
    <col min="11" max="11" width="13" style="121" customWidth="1"/>
    <col min="12" max="12" width="12.42578125" customWidth="1"/>
    <col min="13" max="13" width="14.140625" bestFit="1" customWidth="1"/>
    <col min="14" max="1025" width="8.42578125" customWidth="1"/>
  </cols>
  <sheetData>
    <row r="2" spans="2:16" ht="13.5" thickBot="1">
      <c r="K2"/>
    </row>
    <row r="3" spans="2:16" ht="13.5" thickBot="1">
      <c r="G3" s="228"/>
      <c r="H3" s="195" t="s">
        <v>129</v>
      </c>
      <c r="I3" s="441">
        <f>trm</f>
        <v>4385.1487096774199</v>
      </c>
      <c r="K3"/>
    </row>
    <row r="4" spans="2:16" ht="13.5" thickBot="1"/>
    <row r="5" spans="2:16" s="229" customFormat="1" ht="39" customHeight="1" thickBot="1">
      <c r="C5" s="512" t="s">
        <v>1025</v>
      </c>
      <c r="D5" s="287" t="s">
        <v>968</v>
      </c>
      <c r="E5" s="287" t="s">
        <v>969</v>
      </c>
      <c r="F5" s="287" t="s">
        <v>970</v>
      </c>
      <c r="G5" s="287" t="s">
        <v>715</v>
      </c>
      <c r="H5" s="287" t="s">
        <v>971</v>
      </c>
      <c r="I5" s="287" t="s">
        <v>972</v>
      </c>
      <c r="J5" s="287" t="s">
        <v>973</v>
      </c>
      <c r="K5" s="480" t="s">
        <v>974</v>
      </c>
      <c r="L5" s="502" t="s">
        <v>1022</v>
      </c>
      <c r="M5" s="287" t="s">
        <v>976</v>
      </c>
      <c r="N5"/>
      <c r="O5"/>
      <c r="P5"/>
    </row>
    <row r="6" spans="2:16" ht="13.5" thickBot="1"/>
    <row r="7" spans="2:16" ht="15">
      <c r="B7" s="23">
        <v>3.4</v>
      </c>
      <c r="C7" s="19" t="s">
        <v>535</v>
      </c>
      <c r="K7" s="230"/>
    </row>
    <row r="8" spans="2:16" ht="13.5" thickBot="1">
      <c r="K8" s="230"/>
    </row>
    <row r="9" spans="2:16" ht="59.1" customHeight="1" thickBot="1">
      <c r="B9" s="478" t="s">
        <v>536</v>
      </c>
      <c r="C9" s="513" t="s">
        <v>537</v>
      </c>
      <c r="D9" s="513" t="s">
        <v>1172</v>
      </c>
      <c r="E9" s="514">
        <v>1</v>
      </c>
      <c r="F9" s="515">
        <v>1</v>
      </c>
      <c r="G9" s="514" t="s">
        <v>980</v>
      </c>
      <c r="H9" s="516">
        <f>+I9/$I$3</f>
        <v>109079.25771286571</v>
      </c>
      <c r="I9" s="517">
        <f>M9*L9</f>
        <v>478328766.21214384</v>
      </c>
      <c r="J9" s="518">
        <f>+H9*F9*E9</f>
        <v>109079.25771286571</v>
      </c>
      <c r="K9" s="516">
        <f>+I9*F9*E9</f>
        <v>478328766.21214384</v>
      </c>
      <c r="L9" s="421">
        <f>0.65*ipc/ipc_base+0.35*fac_mano_obra*trm/trm_base</f>
        <v>1</v>
      </c>
      <c r="M9" s="517">
        <v>478328766.21214384</v>
      </c>
    </row>
    <row r="10" spans="2:16" ht="15.75" thickBot="1">
      <c r="H10" s="250"/>
      <c r="J10" s="250"/>
      <c r="K10" s="250"/>
    </row>
    <row r="11" spans="2:16" ht="15.75" thickBot="1">
      <c r="D11" s="286"/>
      <c r="F11" s="784" t="s">
        <v>1173</v>
      </c>
      <c r="G11" s="785"/>
      <c r="H11" s="785"/>
      <c r="I11" s="785"/>
      <c r="J11" s="516">
        <f>SUM(J9:J10)</f>
        <v>109079.25771286571</v>
      </c>
      <c r="K11" s="519">
        <f>SUM(K9:K10)</f>
        <v>478328766.21214384</v>
      </c>
      <c r="L11" s="34"/>
    </row>
    <row r="12" spans="2:16" ht="15">
      <c r="D12" s="286"/>
    </row>
    <row r="13" spans="2:16" s="121" customFormat="1" ht="15">
      <c r="D13" s="286"/>
      <c r="M13"/>
    </row>
  </sheetData>
  <sheetProtection algorithmName="SHA-512" hashValue="dCGwFPUEGXV64pSZZu7VNQB8O6k0x5JPSON1yi4cIm3x76Ht2X32FAytR0x6opntZDJB4a6h8wUlmN7XX4ah0A==" saltValue="OrDejNAb83XDY4/vDfRijA==" spinCount="100000"/>
  <mergeCells count="1">
    <mergeCell ref="F11:I11"/>
  </mergeCell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2:BJ106"/>
  <sheetViews>
    <sheetView showGridLines="0" topLeftCell="A9" zoomScaleNormal="100" workbookViewId="0">
      <selection activeCell="C33" sqref="C33"/>
    </sheetView>
  </sheetViews>
  <sheetFormatPr baseColWidth="10" defaultColWidth="9.140625" defaultRowHeight="12.75"/>
  <cols>
    <col min="1" max="1" width="2.140625" style="461" customWidth="1"/>
    <col min="2" max="6" width="5.85546875" customWidth="1"/>
    <col min="7" max="8" width="8.7109375" customWidth="1"/>
    <col min="9" max="9" width="9" style="1" customWidth="1"/>
    <col min="10" max="10" width="48.28515625" customWidth="1"/>
    <col min="11" max="11" width="11.28515625" customWidth="1"/>
    <col min="12" max="12" width="11.7109375" customWidth="1"/>
    <col min="13" max="13" width="13.140625" customWidth="1"/>
    <col min="14" max="14" width="11.42578125" customWidth="1"/>
    <col min="15" max="15" width="11" customWidth="1"/>
    <col min="16" max="16" width="11.7109375" customWidth="1"/>
    <col min="17" max="18" width="14.42578125" customWidth="1"/>
    <col min="19" max="19" width="11" customWidth="1"/>
    <col min="20" max="20" width="11.140625" customWidth="1"/>
    <col min="21" max="21" width="11" customWidth="1"/>
    <col min="22" max="22" width="11.140625" customWidth="1"/>
    <col min="23" max="23" width="11" customWidth="1"/>
    <col min="24" max="27" width="11.140625" customWidth="1"/>
    <col min="28" max="29" width="15" customWidth="1"/>
    <col min="30" max="30" width="11.140625" customWidth="1"/>
    <col min="31" max="31" width="11" customWidth="1"/>
    <col min="32" max="32" width="11.140625" customWidth="1"/>
    <col min="33" max="33" width="11" customWidth="1"/>
    <col min="34" max="34" width="11.140625" customWidth="1"/>
    <col min="35" max="35" width="11" customWidth="1"/>
    <col min="36" max="36" width="11.140625" customWidth="1"/>
    <col min="37" max="37" width="11" customWidth="1"/>
    <col min="38" max="38" width="11.140625" customWidth="1"/>
    <col min="39" max="39" width="11" customWidth="1"/>
    <col min="40" max="40" width="12.42578125" customWidth="1"/>
    <col min="41" max="41" width="11" customWidth="1"/>
    <col min="42" max="42" width="11.140625" customWidth="1"/>
    <col min="43" max="43" width="11" customWidth="1"/>
    <col min="44" max="44" width="11.140625" customWidth="1"/>
    <col min="45" max="45" width="11" customWidth="1"/>
    <col min="46" max="46" width="11.140625" customWidth="1"/>
    <col min="47" max="47" width="12.42578125" customWidth="1"/>
    <col min="48" max="48" width="14.28515625" customWidth="1"/>
    <col min="49" max="51" width="13.42578125" customWidth="1"/>
    <col min="52" max="52" width="12.85546875" customWidth="1"/>
    <col min="53" max="53" width="15.140625" customWidth="1"/>
    <col min="54" max="54" width="14.42578125" customWidth="1"/>
    <col min="55" max="60" width="12.140625" customWidth="1"/>
    <col min="61" max="62" width="16.28515625" customWidth="1"/>
    <col min="63" max="1025" width="9.140625" customWidth="1"/>
  </cols>
  <sheetData>
    <row r="2" spans="1:62" ht="12.75" customHeight="1">
      <c r="B2" s="733" t="s">
        <v>11</v>
      </c>
      <c r="C2" s="733"/>
      <c r="D2" s="733"/>
      <c r="E2" s="733"/>
      <c r="F2" s="733"/>
      <c r="G2" s="733"/>
      <c r="H2" s="733"/>
      <c r="K2" s="736" t="s">
        <v>390</v>
      </c>
      <c r="L2" s="736"/>
      <c r="M2" s="2">
        <f>fac_sop_meta</f>
        <v>0.1</v>
      </c>
      <c r="N2" s="737" t="s">
        <v>391</v>
      </c>
      <c r="O2" s="737"/>
      <c r="P2" s="737"/>
      <c r="Q2" s="737"/>
      <c r="R2" s="737"/>
      <c r="S2" s="737"/>
    </row>
    <row r="3" spans="1:62">
      <c r="B3" s="733"/>
      <c r="C3" s="733"/>
      <c r="D3" s="733"/>
      <c r="E3" s="733"/>
      <c r="F3" s="733"/>
      <c r="G3" s="733"/>
      <c r="H3" s="733"/>
      <c r="K3" s="736" t="s">
        <v>392</v>
      </c>
      <c r="L3" s="736"/>
      <c r="M3" s="3">
        <f>usd_kg_sop_meta</f>
        <v>7.1180779298184573</v>
      </c>
      <c r="N3" s="737" t="s">
        <v>393</v>
      </c>
      <c r="O3" s="737"/>
      <c r="P3" s="737"/>
      <c r="Q3" s="737"/>
      <c r="R3" s="737"/>
      <c r="S3" s="737"/>
    </row>
    <row r="4" spans="1:62">
      <c r="B4" s="733"/>
      <c r="C4" s="733"/>
      <c r="D4" s="733"/>
      <c r="E4" s="733"/>
      <c r="F4" s="733"/>
      <c r="G4" s="733"/>
      <c r="H4" s="733"/>
    </row>
    <row r="5" spans="1:62">
      <c r="B5" s="733"/>
      <c r="C5" s="733"/>
      <c r="D5" s="733"/>
      <c r="E5" s="733"/>
      <c r="F5" s="733"/>
      <c r="G5" s="733"/>
      <c r="H5" s="733"/>
    </row>
    <row r="6" spans="1:62">
      <c r="B6" s="733"/>
      <c r="C6" s="733"/>
      <c r="D6" s="733"/>
      <c r="E6" s="733"/>
      <c r="F6" s="733"/>
      <c r="G6" s="733"/>
      <c r="H6" s="733"/>
    </row>
    <row r="7" spans="1:62" ht="13.5" thickBot="1"/>
    <row r="8" spans="1:62" ht="45" customHeight="1" thickBot="1">
      <c r="A8" s="732" t="s">
        <v>394</v>
      </c>
      <c r="B8" s="734" t="s">
        <v>395</v>
      </c>
      <c r="C8" s="734"/>
      <c r="D8" s="734"/>
      <c r="E8" s="734"/>
      <c r="F8" s="734"/>
      <c r="G8" s="734" t="s">
        <v>396</v>
      </c>
      <c r="H8" s="734"/>
      <c r="K8" s="735" t="s">
        <v>74</v>
      </c>
      <c r="L8" s="735"/>
      <c r="M8" s="735"/>
      <c r="N8" s="735"/>
      <c r="O8" s="735"/>
      <c r="P8" s="735"/>
      <c r="Q8" s="735"/>
      <c r="R8" s="735"/>
      <c r="S8" s="724" t="s">
        <v>104</v>
      </c>
      <c r="T8" s="724"/>
      <c r="U8" s="724"/>
      <c r="V8" s="724"/>
      <c r="W8" s="723" t="s">
        <v>105</v>
      </c>
      <c r="X8" s="723"/>
      <c r="Y8" s="723"/>
      <c r="Z8" s="723"/>
      <c r="AA8" s="724" t="s">
        <v>106</v>
      </c>
      <c r="AB8" s="724"/>
      <c r="AC8" s="724"/>
      <c r="AD8" s="724"/>
      <c r="AE8" s="723" t="s">
        <v>107</v>
      </c>
      <c r="AF8" s="723"/>
      <c r="AG8" s="723"/>
      <c r="AH8" s="723"/>
      <c r="AI8" s="724" t="s">
        <v>108</v>
      </c>
      <c r="AJ8" s="724"/>
      <c r="AK8" s="724"/>
      <c r="AL8" s="724"/>
      <c r="AM8" s="723" t="s">
        <v>103</v>
      </c>
      <c r="AN8" s="723"/>
      <c r="AO8" s="723"/>
      <c r="AP8" s="723"/>
      <c r="AQ8" s="724" t="s">
        <v>109</v>
      </c>
      <c r="AR8" s="724"/>
      <c r="AS8" s="724"/>
      <c r="AT8" s="724"/>
      <c r="AU8" s="738" t="s">
        <v>397</v>
      </c>
      <c r="AV8" s="738"/>
      <c r="AW8" s="738"/>
      <c r="AX8" s="738"/>
      <c r="AY8" s="738"/>
      <c r="AZ8" s="738"/>
      <c r="BA8" s="738"/>
      <c r="BB8" s="738"/>
      <c r="BC8" s="738" t="s">
        <v>398</v>
      </c>
      <c r="BD8" s="738"/>
      <c r="BE8" s="738"/>
      <c r="BF8" s="738"/>
      <c r="BG8" s="738"/>
      <c r="BH8" s="738"/>
      <c r="BI8" s="738"/>
      <c r="BJ8" s="739"/>
    </row>
    <row r="9" spans="1:62" ht="53.45" customHeight="1" thickBot="1">
      <c r="A9" s="732"/>
      <c r="B9" s="6" t="s">
        <v>399</v>
      </c>
      <c r="C9" s="6" t="s">
        <v>400</v>
      </c>
      <c r="D9" s="7" t="s">
        <v>106</v>
      </c>
      <c r="E9" s="8" t="s">
        <v>401</v>
      </c>
      <c r="F9" s="8" t="s">
        <v>402</v>
      </c>
      <c r="G9" s="9" t="s">
        <v>403</v>
      </c>
      <c r="H9" s="10" t="s">
        <v>404</v>
      </c>
      <c r="I9" s="451" t="s">
        <v>405</v>
      </c>
      <c r="J9" s="4" t="s">
        <v>406</v>
      </c>
      <c r="K9" s="724" t="s">
        <v>407</v>
      </c>
      <c r="L9" s="724"/>
      <c r="M9" s="724" t="s">
        <v>408</v>
      </c>
      <c r="N9" s="724"/>
      <c r="O9" s="724" t="s">
        <v>409</v>
      </c>
      <c r="P9" s="724"/>
      <c r="Q9" s="724" t="s">
        <v>410</v>
      </c>
      <c r="R9" s="724"/>
      <c r="S9" s="724" t="s">
        <v>411</v>
      </c>
      <c r="T9" s="724"/>
      <c r="U9" s="724" t="s">
        <v>412</v>
      </c>
      <c r="V9" s="724"/>
      <c r="W9" s="723" t="s">
        <v>411</v>
      </c>
      <c r="X9" s="723"/>
      <c r="Y9" s="723" t="s">
        <v>412</v>
      </c>
      <c r="Z9" s="723"/>
      <c r="AA9" s="724" t="s">
        <v>411</v>
      </c>
      <c r="AB9" s="724"/>
      <c r="AC9" s="724" t="s">
        <v>412</v>
      </c>
      <c r="AD9" s="724"/>
      <c r="AE9" s="723" t="s">
        <v>411</v>
      </c>
      <c r="AF9" s="723"/>
      <c r="AG9" s="723" t="s">
        <v>412</v>
      </c>
      <c r="AH9" s="723"/>
      <c r="AI9" s="724" t="s">
        <v>411</v>
      </c>
      <c r="AJ9" s="724"/>
      <c r="AK9" s="724" t="s">
        <v>412</v>
      </c>
      <c r="AL9" s="724"/>
      <c r="AM9" s="723" t="s">
        <v>411</v>
      </c>
      <c r="AN9" s="723"/>
      <c r="AO9" s="723" t="s">
        <v>412</v>
      </c>
      <c r="AP9" s="723"/>
      <c r="AQ9" s="724" t="s">
        <v>411</v>
      </c>
      <c r="AR9" s="724"/>
      <c r="AS9" s="724" t="s">
        <v>412</v>
      </c>
      <c r="AT9" s="724"/>
      <c r="AU9" s="5" t="s">
        <v>413</v>
      </c>
      <c r="AV9" s="5" t="s">
        <v>399</v>
      </c>
      <c r="AW9" s="11" t="s">
        <v>400</v>
      </c>
      <c r="AX9" s="5" t="s">
        <v>106</v>
      </c>
      <c r="AY9" s="11" t="s">
        <v>401</v>
      </c>
      <c r="AZ9" s="5" t="s">
        <v>402</v>
      </c>
      <c r="BA9" s="11" t="s">
        <v>414</v>
      </c>
      <c r="BB9" s="5" t="s">
        <v>109</v>
      </c>
      <c r="BC9" s="5" t="s">
        <v>415</v>
      </c>
      <c r="BD9" s="5" t="s">
        <v>399</v>
      </c>
      <c r="BE9" s="11" t="s">
        <v>400</v>
      </c>
      <c r="BF9" s="5" t="s">
        <v>106</v>
      </c>
      <c r="BG9" s="11" t="s">
        <v>401</v>
      </c>
      <c r="BH9" s="5" t="s">
        <v>402</v>
      </c>
      <c r="BI9" s="11" t="s">
        <v>414</v>
      </c>
      <c r="BJ9" s="27" t="s">
        <v>109</v>
      </c>
    </row>
    <row r="10" spans="1:62" ht="19.5" thickBot="1">
      <c r="A10" s="732"/>
      <c r="B10" s="712" t="s">
        <v>416</v>
      </c>
      <c r="C10" s="712"/>
      <c r="D10" s="712"/>
      <c r="E10" s="712"/>
      <c r="F10" s="712"/>
      <c r="G10" s="712"/>
      <c r="H10" s="713"/>
      <c r="I10" s="445">
        <v>1</v>
      </c>
      <c r="J10" s="12" t="s">
        <v>417</v>
      </c>
      <c r="K10" s="13" t="s">
        <v>418</v>
      </c>
      <c r="L10" s="13" t="s">
        <v>419</v>
      </c>
      <c r="M10" s="13" t="s">
        <v>420</v>
      </c>
      <c r="N10" s="13" t="s">
        <v>421</v>
      </c>
      <c r="O10" s="13" t="s">
        <v>418</v>
      </c>
      <c r="P10" s="13" t="s">
        <v>419</v>
      </c>
      <c r="Q10" s="13" t="s">
        <v>418</v>
      </c>
      <c r="R10" s="13" t="s">
        <v>419</v>
      </c>
      <c r="S10" s="13" t="s">
        <v>418</v>
      </c>
      <c r="T10" s="13" t="s">
        <v>419</v>
      </c>
      <c r="U10" s="13" t="s">
        <v>418</v>
      </c>
      <c r="V10" s="13" t="s">
        <v>419</v>
      </c>
      <c r="W10" s="13" t="s">
        <v>418</v>
      </c>
      <c r="X10" s="13" t="s">
        <v>419</v>
      </c>
      <c r="Y10" s="13" t="s">
        <v>418</v>
      </c>
      <c r="Z10" s="13" t="s">
        <v>419</v>
      </c>
      <c r="AA10" s="13" t="s">
        <v>418</v>
      </c>
      <c r="AB10" s="13" t="s">
        <v>419</v>
      </c>
      <c r="AC10" s="13" t="s">
        <v>418</v>
      </c>
      <c r="AD10" s="13" t="s">
        <v>419</v>
      </c>
      <c r="AE10" s="13" t="s">
        <v>418</v>
      </c>
      <c r="AF10" s="13" t="s">
        <v>419</v>
      </c>
      <c r="AG10" s="13" t="s">
        <v>418</v>
      </c>
      <c r="AH10" s="13" t="s">
        <v>419</v>
      </c>
      <c r="AI10" s="13" t="s">
        <v>418</v>
      </c>
      <c r="AJ10" s="13" t="s">
        <v>419</v>
      </c>
      <c r="AK10" s="13" t="s">
        <v>418</v>
      </c>
      <c r="AL10" s="13" t="s">
        <v>419</v>
      </c>
      <c r="AM10" s="13" t="s">
        <v>418</v>
      </c>
      <c r="AN10" s="13" t="s">
        <v>419</v>
      </c>
      <c r="AO10" s="13" t="s">
        <v>418</v>
      </c>
      <c r="AP10" s="13" t="s">
        <v>419</v>
      </c>
      <c r="AQ10" s="13" t="s">
        <v>418</v>
      </c>
      <c r="AR10" s="13" t="s">
        <v>419</v>
      </c>
      <c r="AS10" s="13" t="s">
        <v>418</v>
      </c>
      <c r="AT10" s="14" t="s">
        <v>419</v>
      </c>
      <c r="AU10" s="15"/>
      <c r="AV10" s="16"/>
      <c r="AW10" s="16"/>
      <c r="AX10" s="16"/>
      <c r="AY10" s="16"/>
      <c r="AZ10" s="16"/>
      <c r="BA10" s="16"/>
      <c r="BB10" s="16"/>
      <c r="BC10" s="16"/>
      <c r="BD10" s="16"/>
      <c r="BE10" s="16"/>
      <c r="BF10" s="16"/>
      <c r="BG10" s="16"/>
      <c r="BH10" s="16"/>
      <c r="BI10" s="16"/>
      <c r="BJ10" s="17"/>
    </row>
    <row r="11" spans="1:62" ht="15.75" thickBot="1">
      <c r="A11" s="462"/>
      <c r="B11" s="718"/>
      <c r="C11" s="718"/>
      <c r="D11" s="718"/>
      <c r="E11" s="718"/>
      <c r="F11" s="718"/>
      <c r="G11" s="718"/>
      <c r="H11" s="718"/>
      <c r="I11" s="447">
        <v>1.1000000000000001</v>
      </c>
      <c r="J11" s="19" t="s">
        <v>422</v>
      </c>
      <c r="K11" s="711"/>
      <c r="L11" s="711"/>
      <c r="M11" s="711"/>
      <c r="N11" s="711"/>
      <c r="O11" s="711"/>
      <c r="P11" s="711"/>
      <c r="Q11" s="711"/>
      <c r="R11" s="719"/>
      <c r="S11" s="729"/>
      <c r="T11" s="730"/>
      <c r="U11" s="730"/>
      <c r="V11" s="730"/>
      <c r="W11" s="730"/>
      <c r="X11" s="730"/>
      <c r="Y11" s="730"/>
      <c r="Z11" s="730"/>
      <c r="AA11" s="730"/>
      <c r="AB11" s="730"/>
      <c r="AC11" s="730"/>
      <c r="AD11" s="730"/>
      <c r="AE11" s="730"/>
      <c r="AF11" s="730"/>
      <c r="AG11" s="730"/>
      <c r="AH11" s="730"/>
      <c r="AI11" s="730"/>
      <c r="AJ11" s="730"/>
      <c r="AK11" s="730"/>
      <c r="AL11" s="730"/>
      <c r="AM11" s="730"/>
      <c r="AN11" s="730"/>
      <c r="AO11" s="730"/>
      <c r="AP11" s="730"/>
      <c r="AQ11" s="730"/>
      <c r="AR11" s="730"/>
      <c r="AS11" s="730"/>
      <c r="AT11" s="730"/>
      <c r="AU11" s="730"/>
      <c r="AV11" s="730"/>
      <c r="AW11" s="730"/>
      <c r="AX11" s="730"/>
      <c r="AY11" s="730"/>
      <c r="AZ11" s="730"/>
      <c r="BA11" s="730"/>
      <c r="BB11" s="730"/>
      <c r="BC11" s="730"/>
      <c r="BD11" s="730"/>
      <c r="BE11" s="730"/>
      <c r="BF11" s="730"/>
      <c r="BG11" s="730"/>
      <c r="BH11" s="730"/>
      <c r="BI11" s="730"/>
      <c r="BJ11" s="731"/>
    </row>
    <row r="12" spans="1:62" ht="15.75" thickBot="1">
      <c r="A12" s="462"/>
      <c r="B12" s="20">
        <v>1</v>
      </c>
      <c r="C12" s="20">
        <v>0</v>
      </c>
      <c r="D12" s="20">
        <v>0</v>
      </c>
      <c r="E12" s="20">
        <v>0</v>
      </c>
      <c r="F12" s="20">
        <v>1</v>
      </c>
      <c r="G12" s="20">
        <v>0</v>
      </c>
      <c r="H12" s="449">
        <v>0</v>
      </c>
      <c r="I12" s="446" t="s">
        <v>423</v>
      </c>
      <c r="J12" s="21" t="s">
        <v>424</v>
      </c>
      <c r="K12" s="21"/>
      <c r="L12" s="21"/>
      <c r="M12" s="21"/>
      <c r="N12" s="21"/>
      <c r="O12" s="21"/>
      <c r="P12" s="21"/>
      <c r="Q12" s="21"/>
      <c r="R12" s="21"/>
      <c r="S12" s="454"/>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c r="AW12" s="21"/>
      <c r="AX12" s="21"/>
      <c r="AY12" s="21"/>
      <c r="AZ12" s="21"/>
      <c r="BA12" s="21"/>
      <c r="BB12" s="21"/>
      <c r="BC12" s="21"/>
      <c r="BD12" s="21"/>
      <c r="BE12" s="21"/>
      <c r="BF12" s="21"/>
      <c r="BG12" s="21"/>
      <c r="BH12" s="21"/>
      <c r="BI12" s="21"/>
      <c r="BJ12" s="455"/>
    </row>
    <row r="13" spans="1:62" ht="15.75" thickBot="1">
      <c r="A13" s="463" t="b">
        <f>Inicio!F5</f>
        <v>1</v>
      </c>
      <c r="B13" s="20">
        <v>1</v>
      </c>
      <c r="C13" s="20">
        <v>0</v>
      </c>
      <c r="D13" s="20">
        <v>0</v>
      </c>
      <c r="E13" s="442">
        <v>1</v>
      </c>
      <c r="F13" s="20">
        <v>1</v>
      </c>
      <c r="G13" s="20">
        <v>0</v>
      </c>
      <c r="H13" s="449">
        <v>0</v>
      </c>
      <c r="I13" s="448">
        <v>1.2</v>
      </c>
      <c r="J13" s="19" t="s">
        <v>425</v>
      </c>
      <c r="K13" s="22">
        <f>(SUMIFS('1.2.1 MULTIPLE DE TANQUES'!I2:I500,'1.2.1 MULTIPLE DE TANQUES'!B2:B500,"Materiales",'1.2.1 MULTIPLE DE TANQUES'!K2:K500,"NACIONAL"))*(+$A13)</f>
        <v>11993.550532461624</v>
      </c>
      <c r="L13" s="22">
        <f>(SUMIFS('1.2.1 MULTIPLE DE TANQUES'!I2:I500,'1.2.1 MULTIPLE DE TANQUES'!B2:B500,"Materiales",'1.2.1 MULTIPLE DE TANQUES'!K2:K500,"IMPORTADO")*fac_des_arancel_materiales)*(+$A13)</f>
        <v>234752.04045683116</v>
      </c>
      <c r="M13" s="22">
        <f>(SUMIF('1.2.1 MULTIPLE DE TANQUES'!$B$2:$B$2000,"Materiales",'1.2.1 MULTIPLE DE TANQUES'!$H$2:$H$2000)*fac_sop_meta)*(+$A13)</f>
        <v>5934.9791434770605</v>
      </c>
      <c r="N13" s="22">
        <f>(M13*M3)*(+$A13)</f>
        <v>42245.644055116914</v>
      </c>
      <c r="O13" s="22">
        <f>(SUMIFS('1.2.1 MULTIPLE DE TANQUES'!I2:I500,'1.2.1 MULTIPLE DE TANQUES'!B2:B500,"Equipos Rotativos",'1.2.1 MULTIPLE DE TANQUES'!K2:K500,"NACIONAL"))*(+$A13)</f>
        <v>0</v>
      </c>
      <c r="P13" s="22">
        <f>(SUMIFS('1.2.1 MULTIPLE DE TANQUES'!I2:I500,'1.2.1 MULTIPLE DE TANQUES'!B2:B500,"Equipos Rotativos",'1.2.1 MULTIPLE DE TANQUES'!K2:K500,"IMPORTADO")*fac_des_arancel_rotativos)*(+$A13)</f>
        <v>0</v>
      </c>
      <c r="Q13" s="22">
        <f>(SUMIFS('1.2.1 MULTIPLE DE TANQUES'!I2:I500,'1.2.1 MULTIPLE DE TANQUES'!B2:B500,"Equipos",'1.2.1 MULTIPLE DE TANQUES'!K2:K500,"NACIONAL"))*(+$A13)</f>
        <v>0</v>
      </c>
      <c r="R13" s="22">
        <f>(SUMIFS('1.2.1 MULTIPLE DE TANQUES'!I2:I500,'1.2.1 MULTIPLE DE TANQUES'!B2:B500,"Equipos",'1.2.1 MULTIPLE DE TANQUES'!K2:K500,"IMPORTADO")*fac_des_arancel_materiales)*(+$A13)</f>
        <v>0</v>
      </c>
      <c r="S13" s="22">
        <f>($B13*($K13+$N13))*(+$A13)</f>
        <v>54239.194587578539</v>
      </c>
      <c r="T13" s="22">
        <f>($B13*($L13))*(+$A13)</f>
        <v>234752.04045683116</v>
      </c>
      <c r="U13" s="22">
        <f>($B13*($O13+$Q13))*(+$A13)</f>
        <v>0</v>
      </c>
      <c r="V13" s="22">
        <f>($B13*($P13+$R13))*(+$A13)</f>
        <v>0</v>
      </c>
      <c r="W13" s="22">
        <f>($C13*($K13+$N13))*(+$A13)</f>
        <v>0</v>
      </c>
      <c r="X13" s="22">
        <f>($C13*($L13))*(+$A13)</f>
        <v>0</v>
      </c>
      <c r="Y13" s="22">
        <f>($C13*($O13+$Q13))*(+$A13)</f>
        <v>0</v>
      </c>
      <c r="Z13" s="22">
        <f>($C13*($P13+$R13))*(+$A13)</f>
        <v>0</v>
      </c>
      <c r="AA13" s="22">
        <f>($D13*($K13+$N13))*(+$A13)</f>
        <v>0</v>
      </c>
      <c r="AB13" s="22">
        <f>($D13*($L13))*(+$A13)</f>
        <v>0</v>
      </c>
      <c r="AC13" s="22">
        <f>($D13*($O13+$Q13))*(+$A13)</f>
        <v>0</v>
      </c>
      <c r="AD13" s="22">
        <f>($D13*($P13+$R13))*(+$A13)</f>
        <v>0</v>
      </c>
      <c r="AE13" s="22">
        <f>($E13*($K13+$N13))*(+$A13)</f>
        <v>54239.194587578539</v>
      </c>
      <c r="AF13" s="22">
        <f>($E13*($L13))*(+$A13)</f>
        <v>234752.04045683116</v>
      </c>
      <c r="AG13" s="22">
        <f>($E13*($O13+$Q13))*(+$A13)</f>
        <v>0</v>
      </c>
      <c r="AH13" s="22">
        <f>($E13*($P13+$R13))*(+$A13)</f>
        <v>0</v>
      </c>
      <c r="AI13" s="22">
        <f>($F13*($K13+$N13))*(+$A13)</f>
        <v>54239.194587578539</v>
      </c>
      <c r="AJ13" s="22">
        <f>($F13*($L13))*(+$A13)</f>
        <v>234752.04045683116</v>
      </c>
      <c r="AK13" s="22">
        <f>($F13*($O13+$Q13))*(+$A13)</f>
        <v>0</v>
      </c>
      <c r="AL13" s="22">
        <f>($F13*($P13+$R13))*(+$A13)</f>
        <v>0</v>
      </c>
      <c r="AM13" s="22">
        <f>($G13*($K13+$N13))*(+$A13)</f>
        <v>0</v>
      </c>
      <c r="AN13" s="22">
        <f>($G13*($L13))*(+$A13)</f>
        <v>0</v>
      </c>
      <c r="AO13" s="22">
        <f>($G13*($O13+$Q13))*(+$A13)</f>
        <v>0</v>
      </c>
      <c r="AP13" s="22">
        <f>($G13*($P13+$R13))*(+$A13)</f>
        <v>0</v>
      </c>
      <c r="AQ13" s="22">
        <f>($H13*($K13+$N13))*(+$A13)</f>
        <v>0</v>
      </c>
      <c r="AR13" s="22">
        <f>($H13*($L13))*(+$A13)</f>
        <v>0</v>
      </c>
      <c r="AS13" s="22">
        <f>($H13*($O13+$Q13))*(+$A13)</f>
        <v>0</v>
      </c>
      <c r="AT13" s="22">
        <f>($H13*($P13+$R13))*(+$A13)</f>
        <v>0</v>
      </c>
      <c r="AU13" s="22">
        <f>(SUM('1.2.1 MULTIPLE DE TANQUES'!J2:J500))*(+$A13)</f>
        <v>272829.15104005183</v>
      </c>
      <c r="AV13" s="22">
        <f t="shared" ref="AV13:BB16" si="0">(B13*$AU13)*(+$A13)</f>
        <v>272829.15104005183</v>
      </c>
      <c r="AW13" s="22">
        <f t="shared" si="0"/>
        <v>0</v>
      </c>
      <c r="AX13" s="22">
        <f t="shared" si="0"/>
        <v>0</v>
      </c>
      <c r="AY13" s="22">
        <f t="shared" si="0"/>
        <v>272829.15104005183</v>
      </c>
      <c r="AZ13" s="22">
        <f t="shared" si="0"/>
        <v>272829.15104005183</v>
      </c>
      <c r="BA13" s="22">
        <f t="shared" si="0"/>
        <v>0</v>
      </c>
      <c r="BB13" s="22">
        <f t="shared" si="0"/>
        <v>0</v>
      </c>
      <c r="BC13" s="22">
        <f>(SUMIF('1.2.1 MULTIPLE DE TANQUES'!$B$2:$B$2000,"Materiales",'1.2.1 MULTIPLE DE TANQUES'!$H$2:$H$2000))*(+$A13)</f>
        <v>59349.791434770603</v>
      </c>
      <c r="BD13" s="22">
        <f t="shared" ref="BD13:BJ16" si="1">(B13*$BC13)*(+$A13)</f>
        <v>59349.791434770603</v>
      </c>
      <c r="BE13" s="22">
        <f t="shared" si="1"/>
        <v>0</v>
      </c>
      <c r="BF13" s="22">
        <f t="shared" si="1"/>
        <v>0</v>
      </c>
      <c r="BG13" s="22">
        <f t="shared" si="1"/>
        <v>59349.791434770603</v>
      </c>
      <c r="BH13" s="22">
        <f t="shared" si="1"/>
        <v>59349.791434770603</v>
      </c>
      <c r="BI13" s="22">
        <f t="shared" si="1"/>
        <v>0</v>
      </c>
      <c r="BJ13" s="28">
        <f t="shared" si="1"/>
        <v>0</v>
      </c>
    </row>
    <row r="14" spans="1:62" ht="15.75" thickBot="1">
      <c r="A14" s="463" t="b">
        <f>Inicio!F6</f>
        <v>1</v>
      </c>
      <c r="B14" s="20">
        <v>0</v>
      </c>
      <c r="C14" s="20">
        <v>0</v>
      </c>
      <c r="D14" s="20">
        <v>1</v>
      </c>
      <c r="E14" s="20">
        <v>1</v>
      </c>
      <c r="F14" s="20">
        <v>1</v>
      </c>
      <c r="G14" s="20">
        <v>0</v>
      </c>
      <c r="H14" s="449">
        <v>0</v>
      </c>
      <c r="I14" s="444">
        <v>1.3</v>
      </c>
      <c r="J14" s="19" t="s">
        <v>426</v>
      </c>
      <c r="K14" s="22">
        <f>(SUMIFS('1.3.1 PATIN DE ALIVIO'!I2:I499,'1.3.1 PATIN DE ALIVIO'!B2:B499,"Materiales",'1.3.1 PATIN DE ALIVIO'!K2:K499,"NACIONAL"))*(+$A14)</f>
        <v>6827.4609100217076</v>
      </c>
      <c r="L14" s="22">
        <f>(SUMIFS('1.3.1 PATIN DE ALIVIO'!I2:I499,'1.3.1 PATIN DE ALIVIO'!B2:B499,"Materiales",'1.3.1 PATIN DE ALIVIO'!K2:K499,"IMPORTADO")*fac_des_arancel_materiales)*(+$A14)</f>
        <v>117367.38599844597</v>
      </c>
      <c r="M14" s="22">
        <f>(SUMIF('1.3.1 PATIN DE ALIVIO'!$B$2:$B$1999,"Materiales",'1.3.1 PATIN DE ALIVIO'!$H$2:$H$1999)*fac_sop_meta)*(+$A14)</f>
        <v>1594.5477088046171</v>
      </c>
      <c r="N14" s="22">
        <f>(M14*M3)*(+$A14)</f>
        <v>11350.114854084733</v>
      </c>
      <c r="O14" s="22">
        <f>(SUMIFS('1.3.1 PATIN DE ALIVIO'!I2:I499,'1.3.1 PATIN DE ALIVIO'!B2:B499,"Equipos Rotativos",'1.3.1 PATIN DE ALIVIO'!K2:K499,"NACIONAL"))*(+$A14)</f>
        <v>0</v>
      </c>
      <c r="P14" s="22">
        <f>(SUMIFS('1.3.1 PATIN DE ALIVIO'!I2:I499,'1.3.1 PATIN DE ALIVIO'!B2:B499,"Equipos Rotativos",'1.3.1 PATIN DE ALIVIO'!K2:K499,"IMPORTADO")*fac_des_arancel_rotativos)*(+$A14)</f>
        <v>0</v>
      </c>
      <c r="Q14" s="22">
        <f>(SUMIFS('1.3.1 PATIN DE ALIVIO'!I2:I499,'1.3.1 PATIN DE ALIVIO'!B2:B499,"Equipos",'1.3.1 PATIN DE ALIVIO'!K2:K499,"NACIONAL"))*(+$A14)</f>
        <v>0</v>
      </c>
      <c r="R14" s="22">
        <f>(SUMIFS('1.3.1 PATIN DE ALIVIO'!I2:I499,'1.3.1 PATIN DE ALIVIO'!B2:B499,"Equipos",'1.3.1 PATIN DE ALIVIO'!K2:K499,"IMPORTADO")*fac_des_arancel_materiales)*(+$A14)</f>
        <v>51355.146103338593</v>
      </c>
      <c r="S14" s="22">
        <f>($B14*(K14+N14))*(+$A14)</f>
        <v>0</v>
      </c>
      <c r="T14" s="22">
        <f>($B14*(L14))*(+$A14)</f>
        <v>0</v>
      </c>
      <c r="U14" s="22">
        <f>($B14*($O14+$Q14))*(+$A14)</f>
        <v>0</v>
      </c>
      <c r="V14" s="22">
        <f>($B14*($P14+$R14))*(+$A14)</f>
        <v>0</v>
      </c>
      <c r="W14" s="22">
        <f>($C14*($K14+$N14))*(+$A14)</f>
        <v>0</v>
      </c>
      <c r="X14" s="22">
        <f>($C14*($L14))*(+$A14)</f>
        <v>0</v>
      </c>
      <c r="Y14" s="22">
        <f>($C14*($O14+$Q14))*(+$A14)</f>
        <v>0</v>
      </c>
      <c r="Z14" s="22">
        <f>($C14*($P14+$R14))*(+$A14)</f>
        <v>0</v>
      </c>
      <c r="AA14" s="22">
        <f>($D14*($K14+$N14))*(+$A14)</f>
        <v>18177.575764106441</v>
      </c>
      <c r="AB14" s="22">
        <f>($D14*($L14))*(+$A14)</f>
        <v>117367.38599844597</v>
      </c>
      <c r="AC14" s="22">
        <f>($D14*($O14+$Q14))*(+$A14)</f>
        <v>0</v>
      </c>
      <c r="AD14" s="22">
        <f>($D14*($P14+$R14))*(+$A14)</f>
        <v>51355.146103338593</v>
      </c>
      <c r="AE14" s="22">
        <f>($E14*($K14+$N14))*(+$A14)</f>
        <v>18177.575764106441</v>
      </c>
      <c r="AF14" s="22">
        <f>($E14*($L14))*(+$A14)</f>
        <v>117367.38599844597</v>
      </c>
      <c r="AG14" s="22">
        <f>($E14*($O14+$Q14))*(+$A14)</f>
        <v>0</v>
      </c>
      <c r="AH14" s="22">
        <f>($E14*($P14+$R14))*(+$A14)</f>
        <v>51355.146103338593</v>
      </c>
      <c r="AI14" s="22">
        <f>($F14*($K14+$N14))*(+$A14)</f>
        <v>18177.575764106441</v>
      </c>
      <c r="AJ14" s="22">
        <f>($F14*($L14))*(+$A14)</f>
        <v>117367.38599844597</v>
      </c>
      <c r="AK14" s="22">
        <f>($F14*($O14+$Q14))*(+$A14)</f>
        <v>0</v>
      </c>
      <c r="AL14" s="22">
        <f>($F14*($P14+$R14))*(+$A14)</f>
        <v>51355.146103338593</v>
      </c>
      <c r="AM14" s="22">
        <f>($G14*($K14+$N14))*(+$A14)</f>
        <v>0</v>
      </c>
      <c r="AN14" s="22">
        <f>($G14*($L14))*(+$A14)</f>
        <v>0</v>
      </c>
      <c r="AO14" s="22">
        <f>($G14*($O14+$Q14))*(+$A14)</f>
        <v>0</v>
      </c>
      <c r="AP14" s="22">
        <f>($G14*($P14+$R14))*(+$A14)</f>
        <v>0</v>
      </c>
      <c r="AQ14" s="22">
        <f>($H14*($K14+$N14))*(+$A14)</f>
        <v>0</v>
      </c>
      <c r="AR14" s="22">
        <f>($H14*($L14))*(+$A14)</f>
        <v>0</v>
      </c>
      <c r="AS14" s="22">
        <f>($H14*($O14+$Q14))*(+$A14)</f>
        <v>0</v>
      </c>
      <c r="AT14" s="22">
        <f>($H14*($P14+$R14))*(+$A14)</f>
        <v>0</v>
      </c>
      <c r="AU14" s="22">
        <f>(SUM('1.3.1 PATIN DE ALIVIO'!J33:J57))*(+$A14)</f>
        <v>55295.889787588734</v>
      </c>
      <c r="AV14" s="22">
        <f t="shared" si="0"/>
        <v>0</v>
      </c>
      <c r="AW14" s="22">
        <f t="shared" si="0"/>
        <v>0</v>
      </c>
      <c r="AX14" s="22">
        <f t="shared" si="0"/>
        <v>55295.889787588734</v>
      </c>
      <c r="AY14" s="22">
        <f t="shared" si="0"/>
        <v>55295.889787588734</v>
      </c>
      <c r="AZ14" s="22">
        <f t="shared" si="0"/>
        <v>55295.889787588734</v>
      </c>
      <c r="BA14" s="22">
        <f t="shared" si="0"/>
        <v>0</v>
      </c>
      <c r="BB14" s="22">
        <f t="shared" si="0"/>
        <v>0</v>
      </c>
      <c r="BC14" s="22">
        <f>(SUMIF('1.3.1 PATIN DE ALIVIO'!$B$2:$B$1999,"Materiales",'1.3.1 PATIN DE ALIVIO'!$H$2:$H$1999))*(+$A14)</f>
        <v>15945.477088046169</v>
      </c>
      <c r="BD14" s="22">
        <f t="shared" si="1"/>
        <v>0</v>
      </c>
      <c r="BE14" s="22">
        <f t="shared" si="1"/>
        <v>0</v>
      </c>
      <c r="BF14" s="22">
        <f t="shared" si="1"/>
        <v>15945.477088046169</v>
      </c>
      <c r="BG14" s="22">
        <f t="shared" si="1"/>
        <v>15945.477088046169</v>
      </c>
      <c r="BH14" s="22">
        <f t="shared" si="1"/>
        <v>15945.477088046169</v>
      </c>
      <c r="BI14" s="22">
        <f t="shared" si="1"/>
        <v>0</v>
      </c>
      <c r="BJ14" s="28">
        <f t="shared" si="1"/>
        <v>0</v>
      </c>
    </row>
    <row r="15" spans="1:62" ht="15.75" thickBot="1">
      <c r="A15" s="463" t="b">
        <f>Inicio!F7</f>
        <v>1</v>
      </c>
      <c r="B15" s="20">
        <v>0</v>
      </c>
      <c r="C15" s="20">
        <v>0</v>
      </c>
      <c r="D15" s="20">
        <v>0</v>
      </c>
      <c r="E15" s="20">
        <v>1</v>
      </c>
      <c r="F15" s="20">
        <v>1</v>
      </c>
      <c r="G15" s="20">
        <v>0</v>
      </c>
      <c r="H15" s="449">
        <v>0</v>
      </c>
      <c r="I15" s="444">
        <v>1.4</v>
      </c>
      <c r="J15" s="19" t="s">
        <v>21</v>
      </c>
      <c r="K15" s="22">
        <f>(SUMIFS('1.4.1 Control de presión'!I2:I500,'1.4.1 Control de presión'!B2:B500,"Materiales",'1.4.1 Control de presión'!K2:K500,"NACIONAL"))*(+$A15)</f>
        <v>727.90303877822737</v>
      </c>
      <c r="L15" s="22">
        <f>(SUMIFS('1.4.1 Control de presión'!I2:I500,'1.4.1 Control de presión'!B2:B500,"Materiales",'1.4.1 Control de presión'!K2:K500,"IMPORTADO")*fac_des_arancel_materiales)*(+$A15)</f>
        <v>12513.981361283131</v>
      </c>
      <c r="M15" s="22">
        <f>(SUMIF('1.4.1 Control de presión'!B2:B500,"Materiales",'1.4.1 Control de presión'!I2:I500)*fac_sop_meta)*(+$A15)</f>
        <v>1463.2326773537263</v>
      </c>
      <c r="N15" s="22">
        <f>(M15*M3)*(+$A15)</f>
        <v>10415.404226860732</v>
      </c>
      <c r="O15" s="22">
        <f>(SUMIFS('1.4.1 Control de presión'!I2:I500,'1.4.1 Control de presión'!B2:B500,"Equipos Rotativos",'1.4.1 Control de presión'!K2:K500,"NACIONAL"))*(+$A15)</f>
        <v>0</v>
      </c>
      <c r="P15" s="22">
        <f>(SUMIFS('1.4.1 Control de presión'!I2:I500,'1.4.1 Control de presión'!B2:B500,"Equipos Rotativos",'1.4.1 Control de presión'!K2:K500,"IMPORTADO")*fac_des_arancel_rotativos)*(+$A15)</f>
        <v>0</v>
      </c>
      <c r="Q15" s="22">
        <f>(SUMIFS('1.4.1 Control de presión'!I2:I500,'1.4.1 Control de presión'!B2:B500,"Equipos",'1.4.1 Control de presión'!K2:K500,"NACIONAL"))*(+$A15)</f>
        <v>0</v>
      </c>
      <c r="R15" s="22">
        <f>(SUMIFS('1.4.1 Control de presión'!I2:I500,'1.4.1 Control de presión'!B2:B500,"Equipos",'1.4.1 Control de presión'!K2:K500,"IMPORTADO")*fac_des_arancel_materiales)*(+$A15)</f>
        <v>0</v>
      </c>
      <c r="S15" s="22">
        <f>($B15*(K15+N15))*(+$A15)</f>
        <v>0</v>
      </c>
      <c r="T15" s="22">
        <f>($B15*(L15))*(+$A15)</f>
        <v>0</v>
      </c>
      <c r="U15" s="22">
        <f>($B15*($O15+$Q15))*(+$A15)</f>
        <v>0</v>
      </c>
      <c r="V15" s="22">
        <f>($B15*($P15+$R15))*(+$A15)</f>
        <v>0</v>
      </c>
      <c r="W15" s="22">
        <f>($C15*($K15+$N15))*(+$A15)</f>
        <v>0</v>
      </c>
      <c r="X15" s="22">
        <f>($C15*($L15))*(+$A15)</f>
        <v>0</v>
      </c>
      <c r="Y15" s="22">
        <f>($C15*($O15+$Q15))*(+$A15)</f>
        <v>0</v>
      </c>
      <c r="Z15" s="22">
        <f>($C15*($P15+$R15))*(+$A15)</f>
        <v>0</v>
      </c>
      <c r="AA15" s="22">
        <f>($D15*($K15+$N15))*(+$A15)</f>
        <v>0</v>
      </c>
      <c r="AB15" s="22">
        <f>($D15*($L15))*(+$A15)</f>
        <v>0</v>
      </c>
      <c r="AC15" s="22">
        <f>($D15*($O15+$Q15))*(+$A15)</f>
        <v>0</v>
      </c>
      <c r="AD15" s="22">
        <f>($D15*($P15+$R15))*(+$A15)</f>
        <v>0</v>
      </c>
      <c r="AE15" s="22">
        <f>($E15*($K15+$N15))*(+$A15)</f>
        <v>11143.30726563896</v>
      </c>
      <c r="AF15" s="22">
        <f>($E15*($L15))*(+$A15)</f>
        <v>12513.981361283131</v>
      </c>
      <c r="AG15" s="22">
        <f>($E15*($O15+$Q15))*(+$A15)</f>
        <v>0</v>
      </c>
      <c r="AH15" s="22">
        <f>($E15*($P15+$R15))*(+$A15)</f>
        <v>0</v>
      </c>
      <c r="AI15" s="22">
        <f>($F15*($K15+$N15))*(+$A15)</f>
        <v>11143.30726563896</v>
      </c>
      <c r="AJ15" s="22">
        <f>($F15*($L15))*(+$A15)</f>
        <v>12513.981361283131</v>
      </c>
      <c r="AK15" s="22">
        <f>($F15*($O15+$Q15))*(+$A15)</f>
        <v>0</v>
      </c>
      <c r="AL15" s="22">
        <f>($F15*($P15+$R15))*(+$A15)</f>
        <v>0</v>
      </c>
      <c r="AM15" s="22">
        <f>($G15*($K15+$N15))*(+$A15)</f>
        <v>0</v>
      </c>
      <c r="AN15" s="22">
        <f>($G15*($L15))*(+$A15)</f>
        <v>0</v>
      </c>
      <c r="AO15" s="22">
        <f>($G15*($O15+$Q15))*(+$A15)</f>
        <v>0</v>
      </c>
      <c r="AP15" s="22">
        <f>($G15*($P15+$R15))*(+$A15)</f>
        <v>0</v>
      </c>
      <c r="AQ15" s="22">
        <f>($H15*($K15+$N15))*(+$A15)</f>
        <v>0</v>
      </c>
      <c r="AR15" s="22">
        <f>($H15*($L15))*(+$A15)</f>
        <v>0</v>
      </c>
      <c r="AS15" s="22">
        <f>($H15*($O15+$Q15))*(+$A15)</f>
        <v>0</v>
      </c>
      <c r="AT15" s="22">
        <f>($H15*($P15+$R15))*(+$A15)</f>
        <v>0</v>
      </c>
      <c r="AU15" s="22">
        <f>(SUM('1.4.1 Control de presión'!J2:J500))*(+$A15)</f>
        <v>10442.368431361181</v>
      </c>
      <c r="AV15" s="22">
        <f t="shared" si="0"/>
        <v>0</v>
      </c>
      <c r="AW15" s="22">
        <f t="shared" si="0"/>
        <v>0</v>
      </c>
      <c r="AX15" s="22">
        <f t="shared" si="0"/>
        <v>0</v>
      </c>
      <c r="AY15" s="22">
        <f t="shared" si="0"/>
        <v>10442.368431361181</v>
      </c>
      <c r="AZ15" s="22">
        <f t="shared" si="0"/>
        <v>10442.368431361181</v>
      </c>
      <c r="BA15" s="22">
        <f t="shared" si="0"/>
        <v>0</v>
      </c>
      <c r="BB15" s="22">
        <f t="shared" si="0"/>
        <v>0</v>
      </c>
      <c r="BC15" s="22">
        <f>(SUMIF('1.4.1 Control de presión'!B2:B500,"Materiales",'1.4.1 Control de presión'!I2:I500))*(+$A15)</f>
        <v>14632.326773537263</v>
      </c>
      <c r="BD15" s="22">
        <f t="shared" si="1"/>
        <v>0</v>
      </c>
      <c r="BE15" s="22">
        <f t="shared" si="1"/>
        <v>0</v>
      </c>
      <c r="BF15" s="22">
        <f t="shared" si="1"/>
        <v>0</v>
      </c>
      <c r="BG15" s="22">
        <f t="shared" si="1"/>
        <v>14632.326773537263</v>
      </c>
      <c r="BH15" s="22">
        <f t="shared" si="1"/>
        <v>14632.326773537263</v>
      </c>
      <c r="BI15" s="22">
        <f t="shared" si="1"/>
        <v>0</v>
      </c>
      <c r="BJ15" s="28">
        <f t="shared" si="1"/>
        <v>0</v>
      </c>
    </row>
    <row r="16" spans="1:62" ht="15.75" thickBot="1">
      <c r="A16" s="463" t="b">
        <f>Inicio!F8</f>
        <v>1</v>
      </c>
      <c r="B16" s="20">
        <v>1</v>
      </c>
      <c r="C16" s="20">
        <v>1</v>
      </c>
      <c r="D16" s="20">
        <v>1</v>
      </c>
      <c r="E16" s="20">
        <v>1</v>
      </c>
      <c r="F16" s="20">
        <v>1</v>
      </c>
      <c r="G16" s="20">
        <v>0</v>
      </c>
      <c r="H16" s="449">
        <v>0</v>
      </c>
      <c r="I16" s="447">
        <v>1.5</v>
      </c>
      <c r="J16" s="19" t="s">
        <v>23</v>
      </c>
      <c r="K16" s="22">
        <f>(SUMIFS('1.5.1 FILTRACIÓN'!I2:I500,'1.5.1 FILTRACIÓN'!B2:B500,"Materiales",'1.5.1 FILTRACIÓN'!K2:K500,"NACIONAL"))*(+$A16)</f>
        <v>1044.6756575057893</v>
      </c>
      <c r="L16" s="22">
        <f>(SUMIFS('1.5.1 FILTRACIÓN'!I2:I500,'1.5.1 FILTRACIÓN'!B2:B500,"Materiales",'1.5.1 FILTRACIÓN'!K2:K500,"IMPORTADO")*fac_des_arancel_materiales)*(+$A16)</f>
        <v>33614.7081731035</v>
      </c>
      <c r="M16" s="22">
        <f>(SUMIF('1.5.1 FILTRACIÓN'!B2:B500,"Materiales",'1.5.1 FILTRACIÓN'!H2:H500)*fac_sop_meta)*(+$A16)</f>
        <v>335.73338092769245</v>
      </c>
      <c r="N16" s="22">
        <f>(M16*M3)*(+$A16)</f>
        <v>2389.7763690847405</v>
      </c>
      <c r="O16" s="22">
        <f>(SUMIFS('1.5.1 FILTRACIÓN'!I2:I500,'1.5.1 FILTRACIÓN'!B2:B500,"Equipos Rotativos",'1.5.1 FILTRACIÓN'!K2:K500,"NACIONAL"))*(+$A16)</f>
        <v>0</v>
      </c>
      <c r="P16" s="22">
        <f>(SUMIFS('1.5.1 FILTRACIÓN'!I2:I500,'1.5.1 FILTRACIÓN'!B2:B500,"Equipos Rotativos",'1.5.1 FILTRACIÓN'!K2:K500,"IMPORTADO")*fac_des_arancel_rotativos)*(+$A16)</f>
        <v>0</v>
      </c>
      <c r="Q16" s="22">
        <f>(SUMIFS('1.5.1 FILTRACIÓN'!I2:I500,'1.5.1 FILTRACIÓN'!B2:B500,"Equipos",'1.5.1 FILTRACIÓN'!K2:K500,"NACIONAL"))*(+$A16)</f>
        <v>36717.146236208951</v>
      </c>
      <c r="R16" s="22">
        <f>(SUMIFS('1.5.1 FILTRACIÓN'!I2:I500,'1.5.1 FILTRACIÓN'!B2:B500,"Equipos",'1.5.1 FILTRACIÓN'!K2:K500,"IMPORTADO")*fac_des_arancel_materiales)*(+$A16)</f>
        <v>0</v>
      </c>
      <c r="S16" s="22">
        <f>($B16*(K16+N16))*(+$A16)</f>
        <v>3434.4520265905298</v>
      </c>
      <c r="T16" s="22">
        <f>($B16*(L16))*(+$A16)</f>
        <v>33614.7081731035</v>
      </c>
      <c r="U16" s="22">
        <f>($B16*($O16+$Q16))*(+$A16)</f>
        <v>36717.146236208951</v>
      </c>
      <c r="V16" s="22">
        <f>($B16*($P16+$R16))*(+$A16)</f>
        <v>0</v>
      </c>
      <c r="W16" s="22">
        <f>($C16*($K16+$N16))*(+$A16)</f>
        <v>3434.4520265905298</v>
      </c>
      <c r="X16" s="22">
        <f>($C16*($L16))*(+$A16)</f>
        <v>33614.7081731035</v>
      </c>
      <c r="Y16" s="22">
        <f>($C16*($O16+$Q16))*(+$A16)</f>
        <v>36717.146236208951</v>
      </c>
      <c r="Z16" s="22">
        <f>($C16*($P16+$R16))*(+$A16)</f>
        <v>0</v>
      </c>
      <c r="AA16" s="22">
        <f>($D16*($K16+$N16))*(+$A16)</f>
        <v>3434.4520265905298</v>
      </c>
      <c r="AB16" s="22">
        <f>($D16*($L16))*(+$A16)</f>
        <v>33614.7081731035</v>
      </c>
      <c r="AC16" s="22">
        <f>($D16*($O16+$Q16))*(+$A16)</f>
        <v>36717.146236208951</v>
      </c>
      <c r="AD16" s="22">
        <f>($D16*($P16+$R16))*(+$A16)</f>
        <v>0</v>
      </c>
      <c r="AE16" s="22">
        <f>($E16*($K16+$N16))*(+$A16)</f>
        <v>3434.4520265905298</v>
      </c>
      <c r="AF16" s="22">
        <f>($E16*($L16))*(+$A16)</f>
        <v>33614.7081731035</v>
      </c>
      <c r="AG16" s="22">
        <f>($E16*($O16+$Q16))*(+$A16)</f>
        <v>36717.146236208951</v>
      </c>
      <c r="AH16" s="22">
        <f>($E16*($P16+$R16))*(+$A16)</f>
        <v>0</v>
      </c>
      <c r="AI16" s="22">
        <f>($F16*($K16+$N16))*(+$A16)</f>
        <v>3434.4520265905298</v>
      </c>
      <c r="AJ16" s="22">
        <f>($F16*($L16))*(+$A16)</f>
        <v>33614.7081731035</v>
      </c>
      <c r="AK16" s="22">
        <f>($F16*($O16+$Q16))*(+$A16)</f>
        <v>36717.146236208951</v>
      </c>
      <c r="AL16" s="22">
        <f>($F16*($P16+$R16))*(+$A16)</f>
        <v>0</v>
      </c>
      <c r="AM16" s="22">
        <f>($G16*($K16+$N16))*(+$A16)</f>
        <v>0</v>
      </c>
      <c r="AN16" s="22">
        <f>($G16*($L16))*(+$A16)</f>
        <v>0</v>
      </c>
      <c r="AO16" s="22">
        <f>($G16*($O16+$Q16))*(+$A16)</f>
        <v>0</v>
      </c>
      <c r="AP16" s="22">
        <f>($G16*($P16+$R16))*(+$A16)</f>
        <v>0</v>
      </c>
      <c r="AQ16" s="22">
        <f>($H16*($K16+$N16))*(+$A16)</f>
        <v>0</v>
      </c>
      <c r="AR16" s="22">
        <f>($H16*($L16))*(+$A16)</f>
        <v>0</v>
      </c>
      <c r="AS16" s="22">
        <f>($H16*($O16+$Q16))*(+$A16)</f>
        <v>0</v>
      </c>
      <c r="AT16" s="22">
        <f>($H16*($P16+$R16))*(+$A16)</f>
        <v>0</v>
      </c>
      <c r="AU16" s="22">
        <f>(SUM('1.5.1 FILTRACIÓN'!J2:J27))*(+$A16)</f>
        <v>32901.293870736707</v>
      </c>
      <c r="AV16" s="22">
        <f t="shared" si="0"/>
        <v>32901.293870736707</v>
      </c>
      <c r="AW16" s="22">
        <f t="shared" si="0"/>
        <v>32901.293870736707</v>
      </c>
      <c r="AX16" s="22">
        <f t="shared" si="0"/>
        <v>32901.293870736707</v>
      </c>
      <c r="AY16" s="22">
        <f t="shared" si="0"/>
        <v>32901.293870736707</v>
      </c>
      <c r="AZ16" s="22">
        <f t="shared" si="0"/>
        <v>32901.293870736707</v>
      </c>
      <c r="BA16" s="22">
        <f t="shared" si="0"/>
        <v>0</v>
      </c>
      <c r="BB16" s="22">
        <f t="shared" si="0"/>
        <v>0</v>
      </c>
      <c r="BC16" s="22">
        <f>(SUMIF('1.5.1 FILTRACIÓN'!B2:B500,"Materiales",'1.5.1 FILTRACIÓN'!H2:H500))*(+$A16)</f>
        <v>3357.3338092769245</v>
      </c>
      <c r="BD16" s="22">
        <f t="shared" si="1"/>
        <v>3357.3338092769245</v>
      </c>
      <c r="BE16" s="22">
        <f t="shared" si="1"/>
        <v>3357.3338092769245</v>
      </c>
      <c r="BF16" s="22">
        <f t="shared" si="1"/>
        <v>3357.3338092769245</v>
      </c>
      <c r="BG16" s="22">
        <f t="shared" si="1"/>
        <v>3357.3338092769245</v>
      </c>
      <c r="BH16" s="22">
        <f t="shared" si="1"/>
        <v>3357.3338092769245</v>
      </c>
      <c r="BI16" s="22">
        <f t="shared" si="1"/>
        <v>0</v>
      </c>
      <c r="BJ16" s="28">
        <f t="shared" si="1"/>
        <v>0</v>
      </c>
    </row>
    <row r="17" spans="1:62" ht="15.75" thickBot="1">
      <c r="A17" s="463" t="b">
        <f>Inicio!$F$9</f>
        <v>1</v>
      </c>
      <c r="B17" s="711"/>
      <c r="C17" s="711"/>
      <c r="D17" s="711"/>
      <c r="E17" s="711"/>
      <c r="F17" s="711"/>
      <c r="G17" s="711"/>
      <c r="H17" s="711"/>
      <c r="I17" s="444">
        <v>1.6</v>
      </c>
      <c r="J17" s="19" t="s">
        <v>427</v>
      </c>
      <c r="K17" s="720"/>
      <c r="L17" s="721"/>
      <c r="M17" s="721"/>
      <c r="N17" s="721"/>
      <c r="O17" s="721"/>
      <c r="P17" s="721"/>
      <c r="Q17" s="721"/>
      <c r="R17" s="721"/>
      <c r="S17" s="726"/>
      <c r="T17" s="727"/>
      <c r="U17" s="727"/>
      <c r="V17" s="727"/>
      <c r="W17" s="727"/>
      <c r="X17" s="727"/>
      <c r="Y17" s="727"/>
      <c r="Z17" s="727"/>
      <c r="AA17" s="727"/>
      <c r="AB17" s="727"/>
      <c r="AC17" s="727"/>
      <c r="AD17" s="727"/>
      <c r="AE17" s="727"/>
      <c r="AF17" s="727"/>
      <c r="AG17" s="727"/>
      <c r="AH17" s="727"/>
      <c r="AI17" s="727"/>
      <c r="AJ17" s="727"/>
      <c r="AK17" s="727"/>
      <c r="AL17" s="727"/>
      <c r="AM17" s="727"/>
      <c r="AN17" s="727"/>
      <c r="AO17" s="727"/>
      <c r="AP17" s="727"/>
      <c r="AQ17" s="727"/>
      <c r="AR17" s="727"/>
      <c r="AS17" s="727"/>
      <c r="AT17" s="727"/>
      <c r="AU17" s="727"/>
      <c r="AV17" s="727"/>
      <c r="AW17" s="727"/>
      <c r="AX17" s="727"/>
      <c r="AY17" s="727"/>
      <c r="AZ17" s="727"/>
      <c r="BA17" s="727"/>
      <c r="BB17" s="727"/>
      <c r="BC17" s="727"/>
      <c r="BD17" s="727"/>
      <c r="BE17" s="727"/>
      <c r="BF17" s="727"/>
      <c r="BG17" s="727"/>
      <c r="BH17" s="727"/>
      <c r="BI17" s="727"/>
      <c r="BJ17" s="728"/>
    </row>
    <row r="18" spans="1:62" ht="26.25" thickBot="1">
      <c r="A18" s="462" t="b">
        <f>+A17</f>
        <v>1</v>
      </c>
      <c r="B18" s="20">
        <v>1</v>
      </c>
      <c r="C18" s="20">
        <v>1</v>
      </c>
      <c r="D18" s="20">
        <v>0</v>
      </c>
      <c r="E18" s="20">
        <v>1</v>
      </c>
      <c r="F18" s="20">
        <v>1</v>
      </c>
      <c r="G18" s="20">
        <v>0</v>
      </c>
      <c r="H18" s="449">
        <v>0</v>
      </c>
      <c r="I18" s="446" t="s">
        <v>428</v>
      </c>
      <c r="J18" s="24" t="s">
        <v>429</v>
      </c>
      <c r="K18" s="22">
        <f>(SUMIFS('1.6.1 PATIN MEDICIÓN'!I2:I500,'1.6.1 PATIN MEDICIÓN'!B2:B500,"Materiales",'1.6.1 PATIN MEDICIÓN'!K2:K500,"NACIONAL"))*(+$A18)</f>
        <v>785.19170386725443</v>
      </c>
      <c r="L18" s="22">
        <f>(SUMIFS('1.6.1 PATIN MEDICIÓN'!I2:I500,'1.6.1 PATIN MEDICIÓN'!B2:B500,"Materiales",'1.6.1 PATIN MEDICIÓN'!K2:K500,"IMPORTADO")*fac_des_arancel_materiales)*(+$A18)</f>
        <v>27805.573310146658</v>
      </c>
      <c r="M18" s="22">
        <f>(SUMIF('1.6.1 PATIN MEDICIÓN'!$B$2:$B$2000,"Materiales",'1.6.1 PATIN MEDICIÓN'!$H$2:$H$2000)*fac_sop_meta)*(+$A18)</f>
        <v>223.40976505365958</v>
      </c>
      <c r="N18" s="22">
        <f>(M18*M3)*(+$A18)</f>
        <v>1590.2481179343811</v>
      </c>
      <c r="O18" s="22">
        <f>(SUMIFS('1.6.1 PATIN MEDICIÓN'!I2:I500,'1.6.1 PATIN MEDICIÓN'!B2:B500,"Equipos Rotativos",'1.6.1 PATIN MEDICIÓN'!K2:K500,"NACIONAL"))*(+$A18)</f>
        <v>0</v>
      </c>
      <c r="P18" s="22">
        <f>(SUMIFS('1.6.1 PATIN MEDICIÓN'!I2:I500,'1.6.1 PATIN MEDICIÓN'!B2:B500,"Equipos Rotativos",'1.6.1 PATIN MEDICIÓN'!K2:K500,"IMPORTADO")*fac_des_arancel_rotativos)*(+$A18)</f>
        <v>0</v>
      </c>
      <c r="Q18" s="22">
        <f>(SUMIFS('1.6.1 PATIN MEDICIÓN'!I2:I500,'1.6.1 PATIN MEDICIÓN'!B2:B500,"Equipos",'1.6.1 PATIN MEDICIÓN'!K2:K500,"NACIONAL"))*(+$A18)</f>
        <v>0</v>
      </c>
      <c r="R18" s="22">
        <f>(SUMIFS('1.6.1 PATIN MEDICIÓN'!I2:I500,'1.6.1 PATIN MEDICIÓN'!B2:B500,"Equipos",'1.6.1 PATIN MEDICIÓN'!K2:K500,"IMPORTADO")*fac_des_arancel_materiales)*(+$A18)</f>
        <v>108993.57303326116</v>
      </c>
      <c r="S18" s="22">
        <f>($B18*(K18+N18))*(+$A18)</f>
        <v>2375.4398218016354</v>
      </c>
      <c r="T18" s="22">
        <f>($B18*(L18))*(+$A18)</f>
        <v>27805.573310146658</v>
      </c>
      <c r="U18" s="22">
        <f>($B18*($O18+$Q18))*(+$A18)</f>
        <v>0</v>
      </c>
      <c r="V18" s="22">
        <f>($B18*($P18+$R18))*(+$A18)</f>
        <v>108993.57303326116</v>
      </c>
      <c r="W18" s="22">
        <f>($C18*($K18+$N18))*(+$A18)</f>
        <v>2375.4398218016354</v>
      </c>
      <c r="X18" s="22">
        <f>($C18*($L18))*(+$A18)</f>
        <v>27805.573310146658</v>
      </c>
      <c r="Y18" s="22">
        <f>($C18*($O18+$Q18))*(+$A18)</f>
        <v>0</v>
      </c>
      <c r="Z18" s="22">
        <f>($C18*($P18+$R18))*(+$A18)</f>
        <v>108993.57303326116</v>
      </c>
      <c r="AA18" s="22">
        <f>($D18*($K18+$N18))*(+$A18)</f>
        <v>0</v>
      </c>
      <c r="AB18" s="22">
        <f>($D18*($L18))*(+$A18)</f>
        <v>0</v>
      </c>
      <c r="AC18" s="22">
        <f>($D18*($O18+$Q18))*(+$A18)</f>
        <v>0</v>
      </c>
      <c r="AD18" s="22">
        <f>($D18*($P18+$R18))*(+$A18)</f>
        <v>0</v>
      </c>
      <c r="AE18" s="22">
        <f>($E18*($K18+$N18))*(+$A18)</f>
        <v>2375.4398218016354</v>
      </c>
      <c r="AF18" s="22">
        <f>($E18*($L18))*(+$A18)</f>
        <v>27805.573310146658</v>
      </c>
      <c r="AG18" s="22">
        <f>($E18*($O18+$Q18))*(+$A18)</f>
        <v>0</v>
      </c>
      <c r="AH18" s="22">
        <f>($E18*($P18+$R18))*(+$A18)</f>
        <v>108993.57303326116</v>
      </c>
      <c r="AI18" s="22">
        <f>($F18*($K18+$N18))*(+$A18)</f>
        <v>2375.4398218016354</v>
      </c>
      <c r="AJ18" s="22">
        <f>($F18*($L18))*(+$A18)</f>
        <v>27805.573310146658</v>
      </c>
      <c r="AK18" s="22">
        <f>($F18*($O18+$Q18))*(+$A18)</f>
        <v>0</v>
      </c>
      <c r="AL18" s="22">
        <f>($F18*($P18+$R18))*(+$A18)</f>
        <v>108993.57303326116</v>
      </c>
      <c r="AM18" s="22">
        <f>($G18*($K18+$N18))*(+$A18)</f>
        <v>0</v>
      </c>
      <c r="AN18" s="22">
        <f>($G18*($L18))*(+$A18)</f>
        <v>0</v>
      </c>
      <c r="AO18" s="22">
        <f>($G18*($O18+$Q18))*(+$A18)</f>
        <v>0</v>
      </c>
      <c r="AP18" s="22">
        <f>($G18*($P18+$R18))*(+$A18)</f>
        <v>0</v>
      </c>
      <c r="AQ18" s="22">
        <f>($H18*($K18+$N18))*(+$A18)</f>
        <v>0</v>
      </c>
      <c r="AR18" s="22">
        <f>($H18*($L18))*(+$A18)</f>
        <v>0</v>
      </c>
      <c r="AS18" s="22">
        <f>($H18*($O18+$Q18))*(+$A18)</f>
        <v>0</v>
      </c>
      <c r="AT18" s="22">
        <f>($H18*($P18+$R18))*(+$A18)</f>
        <v>0</v>
      </c>
      <c r="AU18" s="22">
        <f>(SUM('1.6.1 PATIN MEDICIÓN'!J2:J500))*(+$A18)</f>
        <v>99105.453450247864</v>
      </c>
      <c r="AV18" s="22">
        <f t="shared" ref="AV18:BB22" si="2">(B18*$AU18)*(+$A18)</f>
        <v>99105.453450247864</v>
      </c>
      <c r="AW18" s="22">
        <f t="shared" si="2"/>
        <v>99105.453450247864</v>
      </c>
      <c r="AX18" s="22">
        <f t="shared" si="2"/>
        <v>0</v>
      </c>
      <c r="AY18" s="22">
        <f t="shared" si="2"/>
        <v>99105.453450247864</v>
      </c>
      <c r="AZ18" s="22">
        <f t="shared" si="2"/>
        <v>99105.453450247864</v>
      </c>
      <c r="BA18" s="22">
        <f t="shared" si="2"/>
        <v>0</v>
      </c>
      <c r="BB18" s="22">
        <f t="shared" si="2"/>
        <v>0</v>
      </c>
      <c r="BC18" s="22">
        <f>(SUMIF('1.6.1 PATIN MEDICIÓN'!$B$2:$B$2000,"Materiales",'1.6.1 PATIN MEDICIÓN'!$H$2:$H$2000))*(+$A18)</f>
        <v>2234.0976505365957</v>
      </c>
      <c r="BD18" s="22">
        <f t="shared" ref="BD18:BJ22" si="3">(B18*$BC18)*(+$A18)</f>
        <v>2234.0976505365957</v>
      </c>
      <c r="BE18" s="22">
        <f t="shared" si="3"/>
        <v>2234.0976505365957</v>
      </c>
      <c r="BF18" s="22">
        <f t="shared" si="3"/>
        <v>0</v>
      </c>
      <c r="BG18" s="22">
        <f t="shared" si="3"/>
        <v>2234.0976505365957</v>
      </c>
      <c r="BH18" s="22">
        <f t="shared" si="3"/>
        <v>2234.0976505365957</v>
      </c>
      <c r="BI18" s="22">
        <f t="shared" si="3"/>
        <v>0</v>
      </c>
      <c r="BJ18" s="28">
        <f t="shared" si="3"/>
        <v>0</v>
      </c>
    </row>
    <row r="19" spans="1:62" ht="15.75" thickBot="1">
      <c r="A19" s="462" t="b">
        <f>+A18</f>
        <v>1</v>
      </c>
      <c r="B19" s="20">
        <v>0</v>
      </c>
      <c r="C19" s="20">
        <v>0</v>
      </c>
      <c r="D19" s="20">
        <v>1</v>
      </c>
      <c r="E19" s="20">
        <v>0</v>
      </c>
      <c r="F19" s="20">
        <v>0</v>
      </c>
      <c r="G19" s="20">
        <v>0</v>
      </c>
      <c r="H19" s="449">
        <v>0</v>
      </c>
      <c r="I19" s="446" t="s">
        <v>430</v>
      </c>
      <c r="J19" s="24" t="s">
        <v>431</v>
      </c>
      <c r="K19" s="22">
        <f>(SUMIFS('1.6.2 MEDICION DE REFERENCIA'!I2:I500,'1.6.2 MEDICION DE REFERENCIA'!B2:B500,"Materiales",'1.6.2 MEDICION DE REFERENCIA'!K2:K500,"NACIONAL"))*(+$A19)</f>
        <v>229.15466035610862</v>
      </c>
      <c r="L19" s="22">
        <f>(SUMIFS('1.6.2 MEDICION DE REFERENCIA'!I2:I500,'1.6.2 MEDICION DE REFERENCIA'!B2:B500,"Materiales",'1.6.2 MEDICION DE REFERENCIA'!K2:K500,"IMPORTADO")*fac_des_arancel_materiales)*(+$A19)</f>
        <v>10185.580340547112</v>
      </c>
      <c r="M19" s="22">
        <f>(SUMIF('1.6.2 MEDICION DE REFERENCIA'!B2:B500,"Materiales",'1.6.2 MEDICION DE REFERENCIA'!H2:H500)*fac_sop_meta)*(+$A19)</f>
        <v>72.421906795309184</v>
      </c>
      <c r="N19" s="22">
        <f>(M19*M3)*(+$A19)</f>
        <v>515.50477639505971</v>
      </c>
      <c r="O19" s="22">
        <f>(SUMIFS('1.6.2 MEDICION DE REFERENCIA'!I2:I500,'1.6.2 MEDICION DE REFERENCIA'!B2:B500,"Equipos Rotativos",'1.6.2 MEDICION DE REFERENCIA'!K2:K500,"NACIONAL"))*(+$A19)</f>
        <v>0</v>
      </c>
      <c r="P19" s="22">
        <f>(SUMIFS('1.6.2 MEDICION DE REFERENCIA'!I2:I500,'1.6.2 MEDICION DE REFERENCIA'!B2:B500,"Equipos Rotativos",'1.6.2 MEDICION DE REFERENCIA'!K2:K500,"IMPORTADO")*fac_des_arancel_rotativos)*(+$A19)</f>
        <v>0</v>
      </c>
      <c r="Q19" s="22">
        <f>(SUMIFS('1.6.2 MEDICION DE REFERENCIA'!I2:I500,'1.6.2 MEDICION DE REFERENCIA'!B2:B500,"Equipos",'1.6.2 MEDICION DE REFERENCIA'!K2:K500,"NACIONAL"))*(+$A19)</f>
        <v>0</v>
      </c>
      <c r="R19" s="22">
        <f>(SUMIFS('1.6.2 MEDICION DE REFERENCIA'!I2:I500,'1.6.2 MEDICION DE REFERENCIA'!B2:B500,"Equipos",'1.6.2 MEDICION DE REFERENCIA'!K2:K500,"IMPORTADO")*fac_des_arancel_materiales)*(+$A19)</f>
        <v>426848.93372429826</v>
      </c>
      <c r="S19" s="22">
        <f>($B19*(K19+N19))*(+$A19)</f>
        <v>0</v>
      </c>
      <c r="T19" s="22">
        <f>($B19*(L19))*(+$A19)</f>
        <v>0</v>
      </c>
      <c r="U19" s="22">
        <f>($B19*($O19+$Q19))*(+$A19)</f>
        <v>0</v>
      </c>
      <c r="V19" s="22">
        <f>($B19*($P19+$R19))*(+$A19)</f>
        <v>0</v>
      </c>
      <c r="W19" s="22">
        <f>($C19*($K19+$N19))*(+$A19)</f>
        <v>0</v>
      </c>
      <c r="X19" s="22">
        <f>($C19*($L19))*(+$A19)</f>
        <v>0</v>
      </c>
      <c r="Y19" s="22">
        <f>($C19*($O19+$Q19))*(+$A19)</f>
        <v>0</v>
      </c>
      <c r="Z19" s="22">
        <f>($C19*($P19+$R19))*(+$A19)</f>
        <v>0</v>
      </c>
      <c r="AA19" s="22">
        <f>($D19*($K19+$N19))*(+$A19)</f>
        <v>744.6594367511683</v>
      </c>
      <c r="AB19" s="22">
        <f>($D19*($L19))*(+$A19)</f>
        <v>10185.580340547112</v>
      </c>
      <c r="AC19" s="22">
        <f>($D19*($O19+$Q19))*(+$A19)</f>
        <v>0</v>
      </c>
      <c r="AD19" s="22">
        <f>($D19*($P19+$R19))*(+$A19)</f>
        <v>426848.93372429826</v>
      </c>
      <c r="AE19" s="22">
        <f>($E19*($K19+$N19))*(+$A19)</f>
        <v>0</v>
      </c>
      <c r="AF19" s="22">
        <f>($E19*($L19))*(+$A19)</f>
        <v>0</v>
      </c>
      <c r="AG19" s="22">
        <f>($E19*($O19+$Q19))*(+$A19)</f>
        <v>0</v>
      </c>
      <c r="AH19" s="22">
        <f>($E19*($P19+$R19))*(+$A19)</f>
        <v>0</v>
      </c>
      <c r="AI19" s="22">
        <f>($F19*($K19+$N19))*(+$A19)</f>
        <v>0</v>
      </c>
      <c r="AJ19" s="22">
        <f>($F19*($L19))*(+$A19)</f>
        <v>0</v>
      </c>
      <c r="AK19" s="22">
        <f>($F19*($O19+$Q19))*(+$A19)</f>
        <v>0</v>
      </c>
      <c r="AL19" s="22">
        <f>($F19*($P19+$R19))*(+$A19)</f>
        <v>0</v>
      </c>
      <c r="AM19" s="22">
        <f>($G19*($K19+$N19))*(+$A19)</f>
        <v>0</v>
      </c>
      <c r="AN19" s="22">
        <f>($G19*($L19))*(+$A19)</f>
        <v>0</v>
      </c>
      <c r="AO19" s="22">
        <f>($G19*($O19+$Q19))*(+$A19)</f>
        <v>0</v>
      </c>
      <c r="AP19" s="22">
        <f>($G19*($P19+$R19))*(+$A19)</f>
        <v>0</v>
      </c>
      <c r="AQ19" s="22">
        <f>($H19*($K19+$N19))*(+$A19)</f>
        <v>0</v>
      </c>
      <c r="AR19" s="22">
        <f>($H19*($L19))*(+$A19)</f>
        <v>0</v>
      </c>
      <c r="AS19" s="22">
        <f>($H19*($O19+$Q19))*(+$A19)</f>
        <v>0</v>
      </c>
      <c r="AT19" s="22">
        <f>($H19*($P19+$R19))*(+$A19)</f>
        <v>0</v>
      </c>
      <c r="AU19" s="22">
        <f>(SUM('1.6.2 MEDICION DE REFERENCIA'!J2:J500))*(+$A19)</f>
        <v>154467.7072126831</v>
      </c>
      <c r="AV19" s="22">
        <f t="shared" si="2"/>
        <v>0</v>
      </c>
      <c r="AW19" s="22">
        <f t="shared" si="2"/>
        <v>0</v>
      </c>
      <c r="AX19" s="22">
        <f t="shared" si="2"/>
        <v>154467.7072126831</v>
      </c>
      <c r="AY19" s="22">
        <f t="shared" si="2"/>
        <v>0</v>
      </c>
      <c r="AZ19" s="22">
        <f t="shared" si="2"/>
        <v>0</v>
      </c>
      <c r="BA19" s="22">
        <f t="shared" si="2"/>
        <v>0</v>
      </c>
      <c r="BB19" s="22">
        <f t="shared" si="2"/>
        <v>0</v>
      </c>
      <c r="BC19" s="22">
        <f>(SUMIF('1.6.2 MEDICION DE REFERENCIA'!B2:B500,"Materiales",'1.6.2 MEDICION DE REFERENCIA'!H2:H500))*(+$A19)</f>
        <v>724.21906795309178</v>
      </c>
      <c r="BD19" s="22">
        <f t="shared" si="3"/>
        <v>0</v>
      </c>
      <c r="BE19" s="22">
        <f t="shared" si="3"/>
        <v>0</v>
      </c>
      <c r="BF19" s="22">
        <f t="shared" si="3"/>
        <v>724.21906795309178</v>
      </c>
      <c r="BG19" s="22">
        <f t="shared" si="3"/>
        <v>0</v>
      </c>
      <c r="BH19" s="22">
        <f t="shared" si="3"/>
        <v>0</v>
      </c>
      <c r="BI19" s="22">
        <f t="shared" si="3"/>
        <v>0</v>
      </c>
      <c r="BJ19" s="28">
        <f t="shared" si="3"/>
        <v>0</v>
      </c>
    </row>
    <row r="20" spans="1:62" ht="15.75" thickBot="1">
      <c r="A20" s="463" t="b">
        <f>Inicio!$K$6</f>
        <v>1</v>
      </c>
      <c r="B20" s="20">
        <v>1</v>
      </c>
      <c r="C20" s="20">
        <v>1</v>
      </c>
      <c r="D20" s="20">
        <v>0</v>
      </c>
      <c r="E20" s="20">
        <v>0</v>
      </c>
      <c r="F20" s="20">
        <v>0</v>
      </c>
      <c r="G20" s="20">
        <v>1</v>
      </c>
      <c r="H20" s="449">
        <v>1.25</v>
      </c>
      <c r="I20" s="452">
        <v>1.8</v>
      </c>
      <c r="J20" s="26" t="s">
        <v>432</v>
      </c>
      <c r="K20" s="22">
        <f>(SUMIFS('1.8.1 UNIDAD BOOSTER'!I2:I500,'1.8.1 UNIDAD BOOSTER'!B2:B500,"Materiales",'1.8.1 UNIDAD BOOSTER'!K2:K500,"NACIONAL"))*(+$A20)</f>
        <v>4535.9143064606205</v>
      </c>
      <c r="L20" s="22">
        <f>(SUMIFS('1.8.1 UNIDAD BOOSTER'!I2:I500,'1.8.1 UNIDAD BOOSTER'!B2:B500,"Materiales",'1.8.1 UNIDAD BOOSTER'!K2:K500,"IMPORTADO")*fac_des_arancel_materiales)*(+$A20)</f>
        <v>57094.373535596395</v>
      </c>
      <c r="M20" s="22">
        <f>(SUMIF('1.8.1 UNIDAD BOOSTER'!$B$2:$B$2000,"Materiales",'1.8.1 UNIDAD BOOSTER'!$H$2:$H$2000)*fac_sop_meta)*(+$A20)</f>
        <v>1016.3954487817032</v>
      </c>
      <c r="N20" s="22">
        <f>(M20*M3)*(+$A20)</f>
        <v>7234.782011940968</v>
      </c>
      <c r="O20" s="22">
        <f>(SUMIFS('1.8.1 UNIDAD BOOSTER'!I2:I500,'1.8.1 UNIDAD BOOSTER'!B2:B500,"Equipos Rotativos",'1.8.1 UNIDAD BOOSTER'!K2:K500,"NACIONAL"))*(+$A20)</f>
        <v>0</v>
      </c>
      <c r="P20" s="22">
        <f>(SUMIFS('1.8.1 UNIDAD BOOSTER'!I2:I500,'1.8.1 UNIDAD BOOSTER'!B2:B500,"Equipos Rotativos",'1.8.1 UNIDAD BOOSTER'!K2:K500,"IMPORTADO")*fac_des_arancel_rotativos)*(+$A20)</f>
        <v>1035188.3669037508</v>
      </c>
      <c r="Q20" s="22">
        <f>(SUMIFS('1.8.1 UNIDAD BOOSTER'!I2:I500,'1.8.1 UNIDAD BOOSTER'!B2:B500,"Equipos",'1.8.1 UNIDAD BOOSTER'!K2:K500,"NACIONAL"))*(+$A20)</f>
        <v>0</v>
      </c>
      <c r="R20" s="22">
        <f>(SUMIFS('1.8.1 UNIDAD BOOSTER'!I2:I500,'1.8.1 UNIDAD BOOSTER'!B2:B500,"Equipos",'1.8.1 UNIDAD BOOSTER'!K2:K500,"IMPORTADO")*fac_des_arancel_materiales)*(+$A20)</f>
        <v>0</v>
      </c>
      <c r="S20" s="22">
        <f>($B20*(K20+N20))*(+$A20)</f>
        <v>11770.696318401588</v>
      </c>
      <c r="T20" s="22">
        <f>($B20*(L20))*(+$A20)</f>
        <v>57094.373535596395</v>
      </c>
      <c r="U20" s="22">
        <f>($B20*($O20+$Q20))*(+$A20)</f>
        <v>0</v>
      </c>
      <c r="V20" s="22">
        <f>($B20*($P20+$R20))*(+$A20)</f>
        <v>1035188.3669037508</v>
      </c>
      <c r="W20" s="22">
        <f>($C20*($K20+$N20))*(+$A20)</f>
        <v>11770.696318401588</v>
      </c>
      <c r="X20" s="22">
        <f>($C20*($L20))*(+$A20)</f>
        <v>57094.373535596395</v>
      </c>
      <c r="Y20" s="22">
        <f>($C20*($O20+$Q20))*(+$A20)</f>
        <v>0</v>
      </c>
      <c r="Z20" s="22">
        <f>($C20*($P20+$R20))*(+$A20)</f>
        <v>1035188.3669037508</v>
      </c>
      <c r="AA20" s="22">
        <f>($D20*($K20+$N20))*(+$A20)</f>
        <v>0</v>
      </c>
      <c r="AB20" s="22">
        <f>($D20*($L20))*(+$A20)</f>
        <v>0</v>
      </c>
      <c r="AC20" s="22">
        <f>($D20*($O20+$Q20))*(+$A20)</f>
        <v>0</v>
      </c>
      <c r="AD20" s="22">
        <f>($D20*($P20+$R20))*(+$A20)</f>
        <v>0</v>
      </c>
      <c r="AE20" s="22">
        <f>($E20*($K20+$N20))*(+$A20)</f>
        <v>0</v>
      </c>
      <c r="AF20" s="22">
        <f>($E20*($L20))*(+$A20)</f>
        <v>0</v>
      </c>
      <c r="AG20" s="22">
        <f>($E20*($O20+$Q20))*(+$A20)</f>
        <v>0</v>
      </c>
      <c r="AH20" s="22">
        <f>($E20*($P20+$R20))*(+$A20)</f>
        <v>0</v>
      </c>
      <c r="AI20" s="22">
        <f>($F20*($K20+$N20))*(+$A20)</f>
        <v>0</v>
      </c>
      <c r="AJ20" s="22">
        <f>($F20*($L20))*(+$A20)</f>
        <v>0</v>
      </c>
      <c r="AK20" s="22">
        <f>($F20*($O20+$Q20))*(+$A20)</f>
        <v>0</v>
      </c>
      <c r="AL20" s="22">
        <f>($F20*($P20+$R20))*(+$A20)</f>
        <v>0</v>
      </c>
      <c r="AM20" s="22">
        <f>($G20*($K20+$N20))*(+$A20)</f>
        <v>11770.696318401588</v>
      </c>
      <c r="AN20" s="22">
        <f>($G20*($L20))*(+$A20)</f>
        <v>57094.373535596395</v>
      </c>
      <c r="AO20" s="22">
        <f>($G20*($O20+$Q20))*(+$A20)</f>
        <v>0</v>
      </c>
      <c r="AP20" s="22">
        <f>($G20*($P20+$R20))*(+$A20)</f>
        <v>1035188.3669037508</v>
      </c>
      <c r="AQ20" s="22">
        <f>($H20*($K20+$N20))*(+$A20)</f>
        <v>14713.370398001985</v>
      </c>
      <c r="AR20" s="22">
        <f>($H20*($L20))*(+$A20)</f>
        <v>71367.966919495491</v>
      </c>
      <c r="AS20" s="22">
        <f>($H20*($O20+$Q20))*(+$A20)</f>
        <v>0</v>
      </c>
      <c r="AT20" s="22">
        <f>($H20*($P20+$R20))*(+$A20)</f>
        <v>1293985.4586296885</v>
      </c>
      <c r="AU20" s="22">
        <f>(SUM('1.8.1 UNIDAD BOOSTER'!J2:J45))*(+$A20)</f>
        <v>265214.17960174428</v>
      </c>
      <c r="AV20" s="22">
        <f t="shared" si="2"/>
        <v>265214.17960174428</v>
      </c>
      <c r="AW20" s="22">
        <f t="shared" si="2"/>
        <v>265214.17960174428</v>
      </c>
      <c r="AX20" s="22">
        <f t="shared" si="2"/>
        <v>0</v>
      </c>
      <c r="AY20" s="22">
        <f t="shared" si="2"/>
        <v>0</v>
      </c>
      <c r="AZ20" s="22">
        <f t="shared" si="2"/>
        <v>0</v>
      </c>
      <c r="BA20" s="22">
        <f>(G20*$AU20)*(+$A20)</f>
        <v>265214.17960174428</v>
      </c>
      <c r="BB20" s="22">
        <f t="shared" si="2"/>
        <v>331517.72450218035</v>
      </c>
      <c r="BC20" s="22">
        <f>(SUMIF('1.8.1 UNIDAD BOOSTER'!$B$2:$B$2000,"Materiales",'1.8.1 UNIDAD BOOSTER'!$H$2:$H$2000))*(+$A20)</f>
        <v>10163.954487817031</v>
      </c>
      <c r="BD20" s="22">
        <f t="shared" si="3"/>
        <v>10163.954487817031</v>
      </c>
      <c r="BE20" s="22">
        <f t="shared" si="3"/>
        <v>10163.954487817031</v>
      </c>
      <c r="BF20" s="22">
        <f t="shared" si="3"/>
        <v>0</v>
      </c>
      <c r="BG20" s="22">
        <f t="shared" si="3"/>
        <v>0</v>
      </c>
      <c r="BH20" s="22">
        <f t="shared" si="3"/>
        <v>0</v>
      </c>
      <c r="BI20" s="22">
        <f t="shared" si="3"/>
        <v>10163.954487817031</v>
      </c>
      <c r="BJ20" s="28">
        <f t="shared" si="3"/>
        <v>12704.943109771288</v>
      </c>
    </row>
    <row r="21" spans="1:62" ht="15.75" thickBot="1">
      <c r="A21" s="463" t="b">
        <f>Inicio!K7</f>
        <v>1</v>
      </c>
      <c r="B21" s="20">
        <v>1</v>
      </c>
      <c r="C21" s="20">
        <v>1</v>
      </c>
      <c r="D21" s="20">
        <v>1</v>
      </c>
      <c r="E21" s="20">
        <v>0</v>
      </c>
      <c r="F21" s="20">
        <v>0</v>
      </c>
      <c r="G21" s="20">
        <v>1</v>
      </c>
      <c r="H21" s="449">
        <v>1.25</v>
      </c>
      <c r="I21" s="444">
        <v>1.9</v>
      </c>
      <c r="J21" s="19" t="s">
        <v>433</v>
      </c>
      <c r="K21" s="22">
        <f>(SUMIFS('1.9.1 UNIDAD PRINCIPAL'!I2:I500,'1.9.1 UNIDAD PRINCIPAL'!B2:B500,"Materiales",'1.9.1 UNIDAD PRINCIPAL'!K2:K500,"NACIONAL"))*(+$A21)</f>
        <v>6878.0097321590838</v>
      </c>
      <c r="L21" s="22">
        <f>(SUMIFS('1.9.1 UNIDAD PRINCIPAL'!I2:I500,'1.9.1 UNIDAD PRINCIPAL'!B2:B500,"Materiales",'1.9.1 UNIDAD PRINCIPAL'!K2:K500,"IMPORTADO")*fac_des_arancel_materiales)*(+$A21)</f>
        <v>99906.801899592538</v>
      </c>
      <c r="M21" s="22">
        <f>(SUMIF('1.9.1 UNIDAD PRINCIPAL'!$B$2:$B$2000,"Materiales",'1.9.1 UNIDAD PRINCIPAL'!$H$2:$H$2000)*fac_sop_meta)*(+$A21)</f>
        <v>1537.0735664958338</v>
      </c>
      <c r="N21" s="22">
        <f>(M21*M3)*(+$A21)</f>
        <v>10941.009430181337</v>
      </c>
      <c r="O21" s="22">
        <f>(SUMIFS('1.9.1 UNIDAD PRINCIPAL'!I2:I500,'1.9.1 UNIDAD PRINCIPAL'!B2:B500,"Equipos Rotativos",'1.9.1 UNIDAD PRINCIPAL'!K2:K500,"NACIONAL"))*(+$A21)</f>
        <v>0</v>
      </c>
      <c r="P21" s="22">
        <f>(SUMIFS('1.9.1 UNIDAD PRINCIPAL'!I2:I500,'1.9.1 UNIDAD PRINCIPAL'!B2:B500,"Equipos Rotativos",'1.9.1 UNIDAD PRINCIPAL'!K2:K500,"IMPORTADO")*fac_des_arancel_rotativos)*(+$A21)</f>
        <v>5279828.0008981852</v>
      </c>
      <c r="Q21" s="22">
        <f>(SUMIFS('1.9.1 UNIDAD PRINCIPAL'!I2:I500,'1.9.1 UNIDAD PRINCIPAL'!B2:B500,"Equipos",'1.9.1 UNIDAD PRINCIPAL'!K2:K500,"NACIONAL"))*(+$A21)</f>
        <v>0</v>
      </c>
      <c r="R21" s="22">
        <f>(SUMIFS('1.9.1 UNIDAD PRINCIPAL'!I2:I500,'1.9.1 UNIDAD PRINCIPAL'!B2:B500,"Equipos",'1.9.1 UNIDAD PRINCIPAL'!K2:K500,"IMPORTADO")*fac_des_arancel_materiales)*(+$A21)</f>
        <v>0</v>
      </c>
      <c r="S21" s="22">
        <f>($B21*(K21+N21))*(+$A21)</f>
        <v>17819.019162340421</v>
      </c>
      <c r="T21" s="22">
        <f>($B21*(L21))*(+$A21)</f>
        <v>99906.801899592538</v>
      </c>
      <c r="U21" s="22">
        <f>($B21*($O21+$Q21))*(+$A21)</f>
        <v>0</v>
      </c>
      <c r="V21" s="22">
        <f>($B21*($P21+$R21))*(+$A21)</f>
        <v>5279828.0008981852</v>
      </c>
      <c r="W21" s="22">
        <f>($C21*($K21+$N21))*(+$A21)</f>
        <v>17819.019162340421</v>
      </c>
      <c r="X21" s="22">
        <f>($C21*($L21))*(+$A21)</f>
        <v>99906.801899592538</v>
      </c>
      <c r="Y21" s="22">
        <f>($C21*($O21+$Q21))*(+$A21)</f>
        <v>0</v>
      </c>
      <c r="Z21" s="22">
        <f>($C21*($P21+$R21))*(+$A21)</f>
        <v>5279828.0008981852</v>
      </c>
      <c r="AA21" s="22">
        <f>($D21*($K21+$N21))*(+$A21)</f>
        <v>17819.019162340421</v>
      </c>
      <c r="AB21" s="22">
        <f>($D21*($L21))*(+$A21)</f>
        <v>99906.801899592538</v>
      </c>
      <c r="AC21" s="22">
        <f>($D21*($O21+$Q21))*(+$A21)</f>
        <v>0</v>
      </c>
      <c r="AD21" s="22">
        <f>($D21*($P21+$R21))*(+$A21)</f>
        <v>5279828.0008981852</v>
      </c>
      <c r="AE21" s="22">
        <f>($E21*($K21+$N21))*(+$A21)</f>
        <v>0</v>
      </c>
      <c r="AF21" s="22">
        <f>($E21*($L21))*(+$A21)</f>
        <v>0</v>
      </c>
      <c r="AG21" s="22">
        <f>($E21*($O21+$Q21))*(+$A21)</f>
        <v>0</v>
      </c>
      <c r="AH21" s="22">
        <f>($E21*($P21+$R21))*(+$A21)</f>
        <v>0</v>
      </c>
      <c r="AI21" s="22">
        <f>($F21*($K21+$N21))*(+$A21)</f>
        <v>0</v>
      </c>
      <c r="AJ21" s="22">
        <f>($F21*($L21))*(+$A21)</f>
        <v>0</v>
      </c>
      <c r="AK21" s="22">
        <f>($F21*($O21+$Q21))*(+$A21)</f>
        <v>0</v>
      </c>
      <c r="AL21" s="22">
        <f>($F21*($P21+$R21))*(+$A21)</f>
        <v>0</v>
      </c>
      <c r="AM21" s="22">
        <f>($G21*($K21+$N21))*(+$A21)</f>
        <v>17819.019162340421</v>
      </c>
      <c r="AN21" s="22">
        <f>($G21*($L21))*(+$A21)</f>
        <v>99906.801899592538</v>
      </c>
      <c r="AO21" s="22">
        <f>($G21*($O21+$Q21))*(+$A21)</f>
        <v>0</v>
      </c>
      <c r="AP21" s="22">
        <f>($G21*($P21+$R21))*(+$A21)</f>
        <v>5279828.0008981852</v>
      </c>
      <c r="AQ21" s="22">
        <f>($H21*($K21+$N21))*(+$A21)</f>
        <v>22273.773952925527</v>
      </c>
      <c r="AR21" s="22">
        <f>($H21*($L21))*(+$A21)</f>
        <v>124883.50237449066</v>
      </c>
      <c r="AS21" s="22">
        <f>($H21*($O21+$Q21))*(+$A21)</f>
        <v>0</v>
      </c>
      <c r="AT21" s="22">
        <f>($H21*($P21+$R21))*(+$A21)</f>
        <v>6599785.0011227317</v>
      </c>
      <c r="AU21" s="22">
        <f>(SUM('1.9.1 UNIDAD PRINCIPAL'!J4:J500))*(+$A21)</f>
        <v>1561442.704086445</v>
      </c>
      <c r="AV21" s="22">
        <f t="shared" si="2"/>
        <v>1561442.704086445</v>
      </c>
      <c r="AW21" s="22">
        <f t="shared" si="2"/>
        <v>1561442.704086445</v>
      </c>
      <c r="AX21" s="22">
        <f t="shared" si="2"/>
        <v>1561442.704086445</v>
      </c>
      <c r="AY21" s="22">
        <f t="shared" si="2"/>
        <v>0</v>
      </c>
      <c r="AZ21" s="22">
        <f t="shared" si="2"/>
        <v>0</v>
      </c>
      <c r="BA21" s="22">
        <f t="shared" si="2"/>
        <v>1561442.704086445</v>
      </c>
      <c r="BB21" s="22">
        <f t="shared" si="2"/>
        <v>1951803.3801080564</v>
      </c>
      <c r="BC21" s="22">
        <f>(SUMIF('1.9.1 UNIDAD PRINCIPAL'!$B$2:$B$2000,"Materiales",'1.9.1 UNIDAD PRINCIPAL'!$H$2:$H$2000))*(+$A21)</f>
        <v>15370.735664958338</v>
      </c>
      <c r="BD21" s="22">
        <f t="shared" si="3"/>
        <v>15370.735664958338</v>
      </c>
      <c r="BE21" s="22">
        <f t="shared" si="3"/>
        <v>15370.735664958338</v>
      </c>
      <c r="BF21" s="22">
        <f t="shared" si="3"/>
        <v>15370.735664958338</v>
      </c>
      <c r="BG21" s="22">
        <f t="shared" si="3"/>
        <v>0</v>
      </c>
      <c r="BH21" s="22">
        <f t="shared" si="3"/>
        <v>0</v>
      </c>
      <c r="BI21" s="22">
        <f t="shared" si="3"/>
        <v>15370.735664958338</v>
      </c>
      <c r="BJ21" s="28">
        <f t="shared" si="3"/>
        <v>19213.419581197923</v>
      </c>
    </row>
    <row r="22" spans="1:62" ht="15.75" thickBot="1">
      <c r="A22" s="463" t="b">
        <f>Inicio!$F$10</f>
        <v>1</v>
      </c>
      <c r="B22" s="20">
        <v>1</v>
      </c>
      <c r="C22" s="20">
        <v>1</v>
      </c>
      <c r="D22" s="20">
        <v>0</v>
      </c>
      <c r="E22" s="20">
        <v>0</v>
      </c>
      <c r="F22" s="20">
        <v>0</v>
      </c>
      <c r="G22" s="20">
        <v>0</v>
      </c>
      <c r="H22" s="449">
        <v>0</v>
      </c>
      <c r="I22" s="453">
        <v>1.1000000000000001</v>
      </c>
      <c r="J22" s="458" t="s">
        <v>434</v>
      </c>
      <c r="K22" s="22">
        <f>(SUMIFS('1.10.1 LINEA DE DESPACHO'!I2:I500,'1.10.1 LINEA DE DESPACHO'!B2:B500,"Materiales",'1.10.1 LINEA DE DESPACHO'!K2:K500,"NACIONAL"))*(+$A22)</f>
        <v>6827.4609100217076</v>
      </c>
      <c r="L22" s="22">
        <f>(SUMIFS('1.10.1 LINEA DE DESPACHO'!I2:I500,'1.10.1 LINEA DE DESPACHO'!B2:B500,"Materiales",'1.10.1 LINEA DE DESPACHO'!K2:K500,"IMPORTADO")*fac_des_arancel_materiales)*(+$A22)</f>
        <v>117367.38599844597</v>
      </c>
      <c r="M22" s="22">
        <f>(SUMIF('1.10.1 LINEA DE DESPACHO'!$B$2:$B$2000,"Materiales",'1.10.1 LINEA DE DESPACHO'!$H$2:$H$2000)*fac_sop_meta)*(+$A22)</f>
        <v>1594.5477088046171</v>
      </c>
      <c r="N22" s="22">
        <f>(M22*M3)*(+$A22)</f>
        <v>11350.114854084733</v>
      </c>
      <c r="O22" s="22">
        <f>(SUMIFS('1.10.1 LINEA DE DESPACHO'!I2:I500,'1.10.1 LINEA DE DESPACHO'!B2:B500,"Equipos Rotativos",'1.10.1 LINEA DE DESPACHO'!K2:K500,"NACIONAL"))*(+$A22)</f>
        <v>0</v>
      </c>
      <c r="P22" s="22">
        <f>(SUMIFS('1.10.1 LINEA DE DESPACHO'!I2:I500,'1.10.1 LINEA DE DESPACHO'!B2:B500,"Equipos Rotativos",'1.10.1 LINEA DE DESPACHO'!K2:K500,"IMPORTADO")*fac_des_arancel_rotativos)*(+$A22)</f>
        <v>0</v>
      </c>
      <c r="Q22" s="22">
        <f>(SUMIFS('1.10.1 LINEA DE DESPACHO'!I2:I500,'1.10.1 LINEA DE DESPACHO'!B2:B500,"Equipos",'1.10.1 LINEA DE DESPACHO'!K2:K500,"NACIONAL"))*(+$A22)</f>
        <v>0</v>
      </c>
      <c r="R22" s="22">
        <f>(SUMIFS('1.10.1 LINEA DE DESPACHO'!I2:I500,'1.10.1 LINEA DE DESPACHO'!B2:B500,"Equipos",'1.10.1 LINEA DE DESPACHO'!K2:K500,"IMPORTADO")*fac_des_arancel_materiales)*(+$A22)</f>
        <v>51355.146103338593</v>
      </c>
      <c r="S22" s="22">
        <f>($B22*(K22+N22))*(+$A22)</f>
        <v>18177.575764106441</v>
      </c>
      <c r="T22" s="22">
        <f>($B22*(L22))*(+$A22)</f>
        <v>117367.38599844597</v>
      </c>
      <c r="U22" s="22">
        <f>($B22*($O22+$Q22))*(+$A22)</f>
        <v>0</v>
      </c>
      <c r="V22" s="22">
        <f>($B22*($P22+$R22))*(+$A22)</f>
        <v>51355.146103338593</v>
      </c>
      <c r="W22" s="22">
        <f>($C22*($K22+$N22))*(+$A22)</f>
        <v>18177.575764106441</v>
      </c>
      <c r="X22" s="22">
        <f>($C22*($L22))*(+$A22)</f>
        <v>117367.38599844597</v>
      </c>
      <c r="Y22" s="22">
        <f>($C22*($O22+$Q22))*(+$A22)</f>
        <v>0</v>
      </c>
      <c r="Z22" s="22">
        <f>($C22*($P22+$R22))*(+$A22)</f>
        <v>51355.146103338593</v>
      </c>
      <c r="AA22" s="22">
        <f>($D22*($K22+$N22))*(+$A22)</f>
        <v>0</v>
      </c>
      <c r="AB22" s="22">
        <f>($D22*($L22))*(+$A22)</f>
        <v>0</v>
      </c>
      <c r="AC22" s="22">
        <f>($D22*($O22+$Q22))*(+$A22)</f>
        <v>0</v>
      </c>
      <c r="AD22" s="22">
        <f>($D22*($P22+$R22))*(+$A22)</f>
        <v>0</v>
      </c>
      <c r="AE22" s="22">
        <f>($E22*($K22+$N22))*(+$A22)</f>
        <v>0</v>
      </c>
      <c r="AF22" s="22">
        <f>($E22*($L22))*(+$A22)</f>
        <v>0</v>
      </c>
      <c r="AG22" s="22">
        <f>($E22*($O22+$Q22))*(+$A22)</f>
        <v>0</v>
      </c>
      <c r="AH22" s="22">
        <f>($E22*($P22+$R22))*(+$A22)</f>
        <v>0</v>
      </c>
      <c r="AI22" s="22">
        <f>($F22*($K22+$N22))*(+$A22)</f>
        <v>0</v>
      </c>
      <c r="AJ22" s="22">
        <f>($F22*($L22))*(+$A22)</f>
        <v>0</v>
      </c>
      <c r="AK22" s="22">
        <f>($F22*($O22+$Q22))*(+$A22)</f>
        <v>0</v>
      </c>
      <c r="AL22" s="22">
        <f>($F22*($P22+$R22))*(+$A22)</f>
        <v>0</v>
      </c>
      <c r="AM22" s="22">
        <f>($G22*($K22+$N22))*(+$A22)</f>
        <v>0</v>
      </c>
      <c r="AN22" s="22">
        <f>($G22*($L22))*(+$A22)</f>
        <v>0</v>
      </c>
      <c r="AO22" s="22">
        <f>($G22*($O22+$Q22))*(+$A22)</f>
        <v>0</v>
      </c>
      <c r="AP22" s="22">
        <f>($G22*($P22+$R22))*(+$A22)</f>
        <v>0</v>
      </c>
      <c r="AQ22" s="22">
        <f>($H22*($K22+$N22))*(+$A22)</f>
        <v>0</v>
      </c>
      <c r="AR22" s="22">
        <f>($H22*($L22))*(+$A22)</f>
        <v>0</v>
      </c>
      <c r="AS22" s="22">
        <f>($H22*($O22+$Q22))*(+$A22)</f>
        <v>0</v>
      </c>
      <c r="AT22" s="22">
        <f>($H22*($P22+$R22))*(+$A22)</f>
        <v>0</v>
      </c>
      <c r="AU22" s="22">
        <f>(SUM('1.10.1 LINEA DE DESPACHO'!J2:J500))*(+$A22)</f>
        <v>109765.8207059612</v>
      </c>
      <c r="AV22" s="22">
        <f t="shared" si="2"/>
        <v>109765.8207059612</v>
      </c>
      <c r="AW22" s="22">
        <f t="shared" si="2"/>
        <v>109765.8207059612</v>
      </c>
      <c r="AX22" s="22">
        <f t="shared" si="2"/>
        <v>0</v>
      </c>
      <c r="AY22" s="22">
        <f t="shared" si="2"/>
        <v>0</v>
      </c>
      <c r="AZ22" s="22">
        <f t="shared" si="2"/>
        <v>0</v>
      </c>
      <c r="BA22" s="22">
        <f t="shared" si="2"/>
        <v>0</v>
      </c>
      <c r="BB22" s="22">
        <f t="shared" si="2"/>
        <v>0</v>
      </c>
      <c r="BC22" s="22">
        <f>(SUMIF('1.10.1 LINEA DE DESPACHO'!$B$2:$B$2000,"Materiales",'1.10.1 LINEA DE DESPACHO'!$H$2:$H$2000)*fac_sop_meta)*(+$A22)</f>
        <v>1594.5477088046171</v>
      </c>
      <c r="BD22" s="22">
        <f t="shared" si="3"/>
        <v>1594.5477088046171</v>
      </c>
      <c r="BE22" s="22">
        <f t="shared" si="3"/>
        <v>1594.5477088046171</v>
      </c>
      <c r="BF22" s="22">
        <f t="shared" si="3"/>
        <v>0</v>
      </c>
      <c r="BG22" s="22">
        <f t="shared" si="3"/>
        <v>0</v>
      </c>
      <c r="BH22" s="22">
        <f t="shared" si="3"/>
        <v>0</v>
      </c>
      <c r="BI22" s="22">
        <f t="shared" si="3"/>
        <v>0</v>
      </c>
      <c r="BJ22" s="28">
        <f t="shared" si="3"/>
        <v>0</v>
      </c>
    </row>
    <row r="23" spans="1:62" ht="19.5" thickBot="1">
      <c r="A23" s="463" t="b">
        <f>Inicio!$G$14</f>
        <v>1</v>
      </c>
      <c r="B23" s="712"/>
      <c r="C23" s="712"/>
      <c r="D23" s="712"/>
      <c r="E23" s="712"/>
      <c r="F23" s="712"/>
      <c r="G23" s="712"/>
      <c r="H23" s="713"/>
      <c r="I23" s="437">
        <v>2</v>
      </c>
      <c r="J23" s="12" t="s">
        <v>435</v>
      </c>
      <c r="K23" s="717"/>
      <c r="L23" s="717"/>
      <c r="M23" s="717"/>
      <c r="N23" s="717"/>
      <c r="O23" s="717"/>
      <c r="P23" s="717"/>
      <c r="Q23" s="717"/>
      <c r="R23" s="722"/>
      <c r="S23" s="726"/>
      <c r="T23" s="727"/>
      <c r="U23" s="727"/>
      <c r="V23" s="727"/>
      <c r="W23" s="727"/>
      <c r="X23" s="727"/>
      <c r="Y23" s="727"/>
      <c r="Z23" s="727"/>
      <c r="AA23" s="727"/>
      <c r="AB23" s="727"/>
      <c r="AC23" s="727"/>
      <c r="AD23" s="727"/>
      <c r="AE23" s="727"/>
      <c r="AF23" s="727"/>
      <c r="AG23" s="727"/>
      <c r="AH23" s="727"/>
      <c r="AI23" s="727"/>
      <c r="AJ23" s="727"/>
      <c r="AK23" s="727"/>
      <c r="AL23" s="727"/>
      <c r="AM23" s="727"/>
      <c r="AN23" s="727"/>
      <c r="AO23" s="727"/>
      <c r="AP23" s="727"/>
      <c r="AQ23" s="727"/>
      <c r="AR23" s="727"/>
      <c r="AS23" s="727"/>
      <c r="AT23" s="727"/>
      <c r="AU23" s="727"/>
      <c r="AV23" s="727"/>
      <c r="AW23" s="727"/>
      <c r="AX23" s="727"/>
      <c r="AY23" s="727"/>
      <c r="AZ23" s="727"/>
      <c r="BA23" s="727"/>
      <c r="BB23" s="727"/>
      <c r="BC23" s="727"/>
      <c r="BD23" s="727"/>
      <c r="BE23" s="727"/>
      <c r="BF23" s="727"/>
      <c r="BG23" s="727"/>
      <c r="BH23" s="727"/>
      <c r="BI23" s="727"/>
      <c r="BJ23" s="728"/>
    </row>
    <row r="24" spans="1:62" ht="15.75" thickBot="1">
      <c r="A24" s="462" t="b">
        <f>+A23</f>
        <v>1</v>
      </c>
      <c r="B24" s="20">
        <v>1</v>
      </c>
      <c r="C24" s="20">
        <v>0.66666666666666696</v>
      </c>
      <c r="D24" s="20">
        <v>0.5</v>
      </c>
      <c r="E24" s="20">
        <v>0.22222222222222199</v>
      </c>
      <c r="F24" s="20">
        <v>0.625</v>
      </c>
      <c r="G24" s="20">
        <v>0</v>
      </c>
      <c r="H24" s="449">
        <v>0</v>
      </c>
      <c r="I24" s="23">
        <v>2.1</v>
      </c>
      <c r="J24" s="19" t="s">
        <v>436</v>
      </c>
      <c r="K24" s="22">
        <f>(SUMIFS('2.1.1 SISTEMA SUMIDERO'!I2:I500,'2.1.1 SISTEMA SUMIDERO'!B2:B500,"Materiales",'2.1.1 SISTEMA SUMIDERO'!K2:K500,"NACIONAL"))*(+$A24)</f>
        <v>3794.5315817790929</v>
      </c>
      <c r="L24" s="22">
        <f>(SUMIFS('2.1.1 SISTEMA SUMIDERO'!I2:I500,'2.1.1 SISTEMA SUMIDERO'!B2:B500,"Materiales",'2.1.1 SISTEMA SUMIDERO'!K2:K500,"IMPORTADO")*fac_des_arancel_materiales)*(+$A24)</f>
        <v>32290.074621989472</v>
      </c>
      <c r="M24" s="22">
        <f>(SUMIF('2.1.1 SISTEMA SUMIDERO'!$B$2:$B$2000,"Materiales",'2.1.1 SISTEMA SUMIDERO'!$H$2:$H$2000)*fac_sop_meta)*(+$A24)</f>
        <v>731.16176593154989</v>
      </c>
      <c r="N24" s="22">
        <f>(M24*M3)*(+$A24)</f>
        <v>5204.4664292044545</v>
      </c>
      <c r="O24" s="22">
        <f>(SUMIFS('2.1.1 SISTEMA SUMIDERO'!I2:I500,'2.1.1 SISTEMA SUMIDERO'!B2:B500,"Equipos Rotativos",'2.1.1 SISTEMA SUMIDERO'!K2:K500,"NACIONAL"))*(+$A24)</f>
        <v>0</v>
      </c>
      <c r="P24" s="22">
        <f>(SUMIFS('2.1.1 SISTEMA SUMIDERO'!I2:I500,'2.1.1 SISTEMA SUMIDERO'!B2:B500,"Equipos Rotativos",'2.1.1 SISTEMA SUMIDERO'!K2:K500,"IMPORTADO")*fac_des_arancel_rotativos)*(+$A24)</f>
        <v>0</v>
      </c>
      <c r="Q24" s="22">
        <f>(SUMIFS('2.1.1 SISTEMA SUMIDERO'!I2:I500,'2.1.1 SISTEMA SUMIDERO'!B2:B500,"Equipos",'2.1.1 SISTEMA SUMIDERO'!K2:K500,"NACIONAL"))*(+$A24)</f>
        <v>54174.498587556227</v>
      </c>
      <c r="R24" s="22">
        <f>(SUMIFS('2.1.1 SISTEMA SUMIDERO'!I2:I500,'2.1.1 SISTEMA SUMIDERO'!B2:B500,"Equipos",'2.1.1 SISTEMA SUMIDERO'!K2:K500,"IMPORTADO")*fac_des_arancel_materiales)*(+$A24)</f>
        <v>0</v>
      </c>
      <c r="S24" s="22">
        <f>($B24*(K24+N24))*(+$A24)</f>
        <v>8998.9980109835469</v>
      </c>
      <c r="T24" s="22">
        <f>($B24*(L24))*(+$A24)</f>
        <v>32290.074621989472</v>
      </c>
      <c r="U24" s="22">
        <f>($B24*($O24+$Q24))*(+$A24)</f>
        <v>54174.498587556227</v>
      </c>
      <c r="V24" s="22">
        <f>($B24*($P24+$R24))*(+$A24)</f>
        <v>0</v>
      </c>
      <c r="W24" s="22">
        <f>($C24*($K24+$N24))*(+$A24)</f>
        <v>5999.3320073223676</v>
      </c>
      <c r="X24" s="22">
        <f>($C24*($L24))*(+$A24)</f>
        <v>21526.716414659659</v>
      </c>
      <c r="Y24" s="22">
        <f>($C24*($O24+$Q24))*(+$A24)</f>
        <v>36116.332391704171</v>
      </c>
      <c r="Z24" s="22">
        <f>($C24*($P24+$R24))*(+$A24)</f>
        <v>0</v>
      </c>
      <c r="AA24" s="22">
        <f>($D24*($K24+$N24))*(+$A24)</f>
        <v>4499.4990054917735</v>
      </c>
      <c r="AB24" s="22">
        <f>($D24*($L24))*(+$A24)</f>
        <v>16145.037310994736</v>
      </c>
      <c r="AC24" s="22">
        <f>($D24*($O24+$Q24))*(+$A24)</f>
        <v>27087.249293778113</v>
      </c>
      <c r="AD24" s="22">
        <f>($D24*($P24+$R24))*(+$A24)</f>
        <v>0</v>
      </c>
      <c r="AE24" s="22">
        <f>($E24*($K24+$N24))*(+$A24)</f>
        <v>1999.7773357741194</v>
      </c>
      <c r="AF24" s="22">
        <f>($E24*($L24))*(+$A24)</f>
        <v>7175.5721382198753</v>
      </c>
      <c r="AG24" s="22">
        <f>($E24*($O24+$Q24))*(+$A24)</f>
        <v>12038.777463901371</v>
      </c>
      <c r="AH24" s="22">
        <f>($E24*($P24+$R24))*(+$A24)</f>
        <v>0</v>
      </c>
      <c r="AI24" s="22">
        <f>($F24*($K24+$N24))*(+$A24)</f>
        <v>5624.3737568647166</v>
      </c>
      <c r="AJ24" s="22">
        <f>($F24*($L24))*(+$A24)</f>
        <v>20181.296638743421</v>
      </c>
      <c r="AK24" s="22">
        <f>($F24*($O24+$Q24))*(+$A24)</f>
        <v>33859.061617222644</v>
      </c>
      <c r="AL24" s="22">
        <f>($F24*($P24+$R24))*(+$A24)</f>
        <v>0</v>
      </c>
      <c r="AM24" s="22">
        <f>($G24*($K24+$N24))*(+$A24)</f>
        <v>0</v>
      </c>
      <c r="AN24" s="22">
        <f>($G24*($L24))*(+$A24)</f>
        <v>0</v>
      </c>
      <c r="AO24" s="22">
        <f>($G24*($O24+$Q24))*(+$A24)</f>
        <v>0</v>
      </c>
      <c r="AP24" s="22">
        <f>($G24*($P24+$R24))*(+$A24)</f>
        <v>0</v>
      </c>
      <c r="AQ24" s="22">
        <f>($H24*($K24+$N24))*(+$A24)</f>
        <v>0</v>
      </c>
      <c r="AR24" s="22">
        <f>($H24*($L24))*(+$A24)</f>
        <v>0</v>
      </c>
      <c r="AS24" s="22">
        <f>($H24*($O24+$Q24))*(+$A24)</f>
        <v>0</v>
      </c>
      <c r="AT24" s="22">
        <f>($H24*($P24+$R24))*(+$A24)</f>
        <v>0</v>
      </c>
      <c r="AU24" s="22">
        <f>(SUM('2.1.1 SISTEMA SUMIDERO'!J2:J500))*(+$A24)</f>
        <v>56106.086287681508</v>
      </c>
      <c r="AV24" s="22">
        <f t="shared" ref="AV24:BB25" si="4">(B24*$AU24)*(+$A24)</f>
        <v>56106.086287681508</v>
      </c>
      <c r="AW24" s="22">
        <f t="shared" si="4"/>
        <v>37404.057525121025</v>
      </c>
      <c r="AX24" s="22">
        <f t="shared" si="4"/>
        <v>28053.043143840754</v>
      </c>
      <c r="AY24" s="22">
        <f t="shared" si="4"/>
        <v>12468.019175040323</v>
      </c>
      <c r="AZ24" s="22">
        <f t="shared" si="4"/>
        <v>35066.303929800939</v>
      </c>
      <c r="BA24" s="22">
        <f t="shared" si="4"/>
        <v>0</v>
      </c>
      <c r="BB24" s="22">
        <f t="shared" si="4"/>
        <v>0</v>
      </c>
      <c r="BC24" s="22">
        <f>(SUMIF('2.1.1 SISTEMA SUMIDERO'!$B$2:$B$2000,"Materiales",'2.1.1 SISTEMA SUMIDERO'!$H$2:$H$2000))*(+$A24)</f>
        <v>7311.6176593154987</v>
      </c>
      <c r="BD24" s="22">
        <f t="shared" ref="BD24:BJ25" si="5">(B24*$BC24)*(+$A24)</f>
        <v>7311.6176593154987</v>
      </c>
      <c r="BE24" s="22">
        <f t="shared" si="5"/>
        <v>4874.4117728770016</v>
      </c>
      <c r="BF24" s="22">
        <f t="shared" si="5"/>
        <v>3655.8088296577494</v>
      </c>
      <c r="BG24" s="22">
        <f t="shared" si="5"/>
        <v>1624.8039242923314</v>
      </c>
      <c r="BH24" s="22">
        <f t="shared" si="5"/>
        <v>4569.7610370721868</v>
      </c>
      <c r="BI24" s="22">
        <f t="shared" si="5"/>
        <v>0</v>
      </c>
      <c r="BJ24" s="28">
        <f t="shared" si="5"/>
        <v>0</v>
      </c>
    </row>
    <row r="25" spans="1:62" ht="15.75" thickBot="1">
      <c r="A25" s="462" t="b">
        <f>+A23</f>
        <v>1</v>
      </c>
      <c r="B25" s="20">
        <v>1</v>
      </c>
      <c r="C25" s="20">
        <v>0.66666666666666696</v>
      </c>
      <c r="D25" s="20">
        <v>0.5</v>
      </c>
      <c r="E25" s="20">
        <v>0.22222222222222199</v>
      </c>
      <c r="F25" s="20">
        <v>0.625</v>
      </c>
      <c r="G25" s="20">
        <v>0</v>
      </c>
      <c r="H25" s="449">
        <v>0</v>
      </c>
      <c r="I25" s="23">
        <v>2.2000000000000002</v>
      </c>
      <c r="J25" s="19" t="s">
        <v>437</v>
      </c>
      <c r="K25" s="22">
        <f>(SUMIFS('2.2.1 SIST. AGUA-ACEITE'!I2:I500,'2.2.1 SIST. AGUA-ACEITE'!B2:B500,"Materiales",'2.2.1 SIST. AGUA-ACEITE'!K2:K500,"NACIONAL"))*(+$A25)</f>
        <v>3717.0233878351146</v>
      </c>
      <c r="L25" s="22">
        <f>(SUMIFS('2.2.1 SIST. AGUA-ACEITE'!I2:I500,'2.2.1 SIST. AGUA-ACEITE'!B2:B500,"Materiales",'2.2.1 SIST. AGUA-ACEITE'!K2:K500,"IMPORTADO")*fac_des_arancel_materiales)*(+$A25)</f>
        <v>30734.613414795465</v>
      </c>
      <c r="M25" s="22">
        <f>(SUMIF('2.2.1 SIST. AGUA-ACEITE'!$B$2:$B$2000,"Materiales",'2.2.1 SIST. AGUA-ACEITE'!$H$2:$H$2000)*fac_sop_meta)*(+$A25)</f>
        <v>704.85386698095795</v>
      </c>
      <c r="N25" s="22">
        <f>(M25*M3)*(+$A25)</f>
        <v>5017.2047543043518</v>
      </c>
      <c r="O25" s="22">
        <f>(SUMIFS('2.2.1 SIST. AGUA-ACEITE'!I2:I500,'2.2.1 SIST. AGUA-ACEITE'!B2:B500,"Equipos Rotativos",'2.2.1 SIST. AGUA-ACEITE'!K2:K500,"NACIONAL"))*(+$A25)</f>
        <v>0</v>
      </c>
      <c r="P25" s="22">
        <f>(SUMIFS('2.2.1 SIST. AGUA-ACEITE'!I2:I500,'2.2.1 SIST. AGUA-ACEITE'!B2:B500,"Equipos Rotativos",'2.2.1 SIST. AGUA-ACEITE'!K2:K500,"IMPORTADO")*fac_des_arancel_rotativos)*(+$A25)</f>
        <v>0</v>
      </c>
      <c r="Q25" s="22">
        <f>(SUMIFS('2.2.1 SIST. AGUA-ACEITE'!I2:I500,'2.2.1 SIST. AGUA-ACEITE'!B2:B500,"Equipos",'2.2.1 SIST. AGUA-ACEITE'!K2:K500,"NACIONAL"))*(+$A25)</f>
        <v>12710.073312210909</v>
      </c>
      <c r="R25" s="22">
        <f>(SUMIFS('2.2.1 SIST. AGUA-ACEITE'!I2:I500,'2.2.1 SIST. AGUA-ACEITE'!B2:B500,"Equipos",'2.2.1 SIST. AGUA-ACEITE'!K2:K500,"IMPORTADO")*fac_des_arancel_materiales)*(+$A25)</f>
        <v>0</v>
      </c>
      <c r="S25" s="22">
        <f>($B25*(K25+N25))*(+$A25)</f>
        <v>8734.2281421394655</v>
      </c>
      <c r="T25" s="22">
        <f>($B25*(L25))*(+$A25)</f>
        <v>30734.613414795465</v>
      </c>
      <c r="U25" s="22">
        <f>($B25*($O25+$Q25))*(+$A25)</f>
        <v>12710.073312210909</v>
      </c>
      <c r="V25" s="22">
        <f>($B25*($P25+$R25))*(+$A25)</f>
        <v>0</v>
      </c>
      <c r="W25" s="22">
        <f>($C25*($K25+$N25))*(+$A25)</f>
        <v>5822.8187614263134</v>
      </c>
      <c r="X25" s="22">
        <f>($C25*($L25))*(+$A25)</f>
        <v>20489.74227653032</v>
      </c>
      <c r="Y25" s="22">
        <f>($C25*($O25+$Q25))*(+$A25)</f>
        <v>8473.3822081406088</v>
      </c>
      <c r="Z25" s="22">
        <f>($C25*($P25+$R25))*(+$A25)</f>
        <v>0</v>
      </c>
      <c r="AA25" s="22">
        <f>($D25*($K25+$N25))*(+$A25)</f>
        <v>4367.1140710697327</v>
      </c>
      <c r="AB25" s="22">
        <f>($D25*($L25))*(+$A25)</f>
        <v>15367.306707397733</v>
      </c>
      <c r="AC25" s="22">
        <f>($D25*($O25+$Q25))*(+$A25)</f>
        <v>6355.0366561054543</v>
      </c>
      <c r="AD25" s="22">
        <f>($D25*($P25+$R25))*(+$A25)</f>
        <v>0</v>
      </c>
      <c r="AE25" s="22">
        <f>($E25*($K25+$N25))*(+$A25)</f>
        <v>1940.9395871421013</v>
      </c>
      <c r="AF25" s="22">
        <f>($E25*($L25))*(+$A25)</f>
        <v>6829.914092176763</v>
      </c>
      <c r="AG25" s="22">
        <f>($E25*($O25+$Q25))*(+$A25)</f>
        <v>2824.4607360468658</v>
      </c>
      <c r="AH25" s="22">
        <f>($E25*($P25+$R25))*(+$A25)</f>
        <v>0</v>
      </c>
      <c r="AI25" s="22">
        <f>($F25*($K25+$N25))*(+$A25)</f>
        <v>5458.8925888371659</v>
      </c>
      <c r="AJ25" s="22">
        <f>($F25*($L25))*(+$A25)</f>
        <v>19209.133384247165</v>
      </c>
      <c r="AK25" s="22">
        <f>($F25*($O25+$Q25))*(+$A25)</f>
        <v>7943.7958201318179</v>
      </c>
      <c r="AL25" s="22">
        <f>($F25*($P25+$R25))*(+$A25)</f>
        <v>0</v>
      </c>
      <c r="AM25" s="22">
        <f>($G25*($K25+$N25))*(+$A25)</f>
        <v>0</v>
      </c>
      <c r="AN25" s="22">
        <f>($G25*($L25))*(+$A25)</f>
        <v>0</v>
      </c>
      <c r="AO25" s="22">
        <f>($G25*($O25+$Q25))*(+$A25)</f>
        <v>0</v>
      </c>
      <c r="AP25" s="22">
        <f>($G25*($P25+$R25))*(+$A25)</f>
        <v>0</v>
      </c>
      <c r="AQ25" s="22">
        <f>($H25*($K25+$N25))*(+$A25)</f>
        <v>0</v>
      </c>
      <c r="AR25" s="22">
        <f>($H25*($L25))*(+$A25)</f>
        <v>0</v>
      </c>
      <c r="AS25" s="22">
        <f>($H25*($O25+$Q25))*(+$A25)</f>
        <v>0</v>
      </c>
      <c r="AT25" s="22">
        <f>($H25*($P25+$R25))*(+$A25)</f>
        <v>0</v>
      </c>
      <c r="AU25" s="22">
        <f>(SUM('2.2.1 SIST. AGUA-ACEITE'!J3:J500))*(+$A25)</f>
        <v>18827.598697439131</v>
      </c>
      <c r="AV25" s="22">
        <f t="shared" si="4"/>
        <v>18827.598697439131</v>
      </c>
      <c r="AW25" s="22">
        <f t="shared" si="4"/>
        <v>12551.732464959427</v>
      </c>
      <c r="AX25" s="22">
        <f t="shared" si="4"/>
        <v>9413.7993487195654</v>
      </c>
      <c r="AY25" s="22">
        <f t="shared" si="4"/>
        <v>4183.9108216531358</v>
      </c>
      <c r="AZ25" s="22">
        <f t="shared" si="4"/>
        <v>11767.249185899456</v>
      </c>
      <c r="BA25" s="22">
        <f t="shared" si="4"/>
        <v>0</v>
      </c>
      <c r="BB25" s="22">
        <f t="shared" si="4"/>
        <v>0</v>
      </c>
      <c r="BC25" s="22">
        <f>(SUMIF('2.2.1 SIST. AGUA-ACEITE'!$B$2:$B$2000,"Materiales",'2.2.1 SIST. AGUA-ACEITE'!$H$2:$H$2000))*(+$A25)</f>
        <v>7048.538669809579</v>
      </c>
      <c r="BD25" s="22">
        <f t="shared" si="5"/>
        <v>7048.538669809579</v>
      </c>
      <c r="BE25" s="22">
        <f t="shared" si="5"/>
        <v>4699.0257798730545</v>
      </c>
      <c r="BF25" s="22">
        <f t="shared" si="5"/>
        <v>3524.2693349047895</v>
      </c>
      <c r="BG25" s="22">
        <f t="shared" si="5"/>
        <v>1566.3419266243493</v>
      </c>
      <c r="BH25" s="22">
        <f t="shared" si="5"/>
        <v>4405.3366686309873</v>
      </c>
      <c r="BI25" s="22">
        <f t="shared" si="5"/>
        <v>0</v>
      </c>
      <c r="BJ25" s="28">
        <f t="shared" si="5"/>
        <v>0</v>
      </c>
    </row>
    <row r="26" spans="1:62" ht="15.75" thickBot="1">
      <c r="A26" s="463" t="b">
        <f>Inicio!$F$11</f>
        <v>1</v>
      </c>
      <c r="B26" s="725"/>
      <c r="C26" s="725"/>
      <c r="D26" s="725"/>
      <c r="E26" s="725"/>
      <c r="F26" s="725"/>
      <c r="G26" s="725"/>
      <c r="H26" s="725"/>
      <c r="I26" s="25">
        <v>2.2999999999999998</v>
      </c>
      <c r="J26" s="19" t="s">
        <v>438</v>
      </c>
      <c r="K26" s="711"/>
      <c r="L26" s="711"/>
      <c r="M26" s="711"/>
      <c r="N26" s="711"/>
      <c r="O26" s="711"/>
      <c r="P26" s="711"/>
      <c r="Q26" s="711"/>
      <c r="R26" s="719"/>
      <c r="S26" s="726"/>
      <c r="T26" s="727"/>
      <c r="U26" s="727"/>
      <c r="V26" s="727"/>
      <c r="W26" s="727"/>
      <c r="X26" s="727"/>
      <c r="Y26" s="727"/>
      <c r="Z26" s="727"/>
      <c r="AA26" s="727"/>
      <c r="AB26" s="727"/>
      <c r="AC26" s="727"/>
      <c r="AD26" s="727"/>
      <c r="AE26" s="727"/>
      <c r="AF26" s="727"/>
      <c r="AG26" s="727"/>
      <c r="AH26" s="727"/>
      <c r="AI26" s="727"/>
      <c r="AJ26" s="727"/>
      <c r="AK26" s="727"/>
      <c r="AL26" s="727"/>
      <c r="AM26" s="727"/>
      <c r="AN26" s="727"/>
      <c r="AO26" s="727"/>
      <c r="AP26" s="727"/>
      <c r="AQ26" s="727"/>
      <c r="AR26" s="727"/>
      <c r="AS26" s="727"/>
      <c r="AT26" s="727"/>
      <c r="AU26" s="727"/>
      <c r="AV26" s="727"/>
      <c r="AW26" s="727"/>
      <c r="AX26" s="727"/>
      <c r="AY26" s="727"/>
      <c r="AZ26" s="727"/>
      <c r="BA26" s="727"/>
      <c r="BB26" s="727"/>
      <c r="BC26" s="727"/>
      <c r="BD26" s="727"/>
      <c r="BE26" s="727"/>
      <c r="BF26" s="727"/>
      <c r="BG26" s="727"/>
      <c r="BH26" s="727"/>
      <c r="BI26" s="727"/>
      <c r="BJ26" s="728"/>
    </row>
    <row r="27" spans="1:62" ht="15.75" thickBot="1">
      <c r="A27" s="462" t="b">
        <f>+A26</f>
        <v>1</v>
      </c>
      <c r="B27" s="20">
        <v>1</v>
      </c>
      <c r="C27" s="20">
        <v>0.66666666666666696</v>
      </c>
      <c r="D27" s="20">
        <v>0.5</v>
      </c>
      <c r="E27" s="20">
        <v>0.33333333333333298</v>
      </c>
      <c r="F27" s="20">
        <v>1</v>
      </c>
      <c r="G27" s="20">
        <v>0</v>
      </c>
      <c r="H27" s="449">
        <v>0</v>
      </c>
      <c r="I27" s="446" t="s">
        <v>439</v>
      </c>
      <c r="J27" s="24" t="s">
        <v>440</v>
      </c>
      <c r="K27" s="22">
        <f>(SUMIFS('2.3.2 UNIDADES CONTRA INCENDIOS'!I2:I470,'2.3.2 UNIDADES CONTRA INCENDIOS'!B2:B470,"Materiales",'2.3.2 UNIDADES CONTRA INCENDIOS'!K2:K470,"NACIONAL"))*(+$A27)</f>
        <v>0</v>
      </c>
      <c r="L27" s="22">
        <f>(SUMIFS('2.3.2 UNIDADES CONTRA INCENDIOS'!I2:I470,'2.3.2 UNIDADES CONTRA INCENDIOS'!B2:B470,"Materiales",'2.3.2 UNIDADES CONTRA INCENDIOS'!K2:K470,"IMPORTADO")*fac_des_arancel_materiales)*(+$A27)</f>
        <v>0</v>
      </c>
      <c r="M27" s="22">
        <f>(SUMIF('2.3.2 UNIDADES CONTRA INCENDIOS'!$B$2:$B$1970,"Materiales",'2.3.2 UNIDADES CONTRA INCENDIOS'!$H$2:$H$1970)*fac_sop_meta)*(+$A27)</f>
        <v>0</v>
      </c>
      <c r="N27" s="22">
        <f>(M27*M3)*(+$A27)</f>
        <v>0</v>
      </c>
      <c r="O27" s="22">
        <f>(SUMIFS('2.3.2 UNIDADES CONTRA INCENDIOS'!I2:I470,'2.3.2 UNIDADES CONTRA INCENDIOS'!B2:B470,"Equipos Rotativos",'2.3.2 UNIDADES CONTRA INCENDIOS'!K2:K470,"NACIONAL"))*(+$A27)</f>
        <v>0</v>
      </c>
      <c r="P27" s="22">
        <f>(SUMIFS('2.3.2 UNIDADES CONTRA INCENDIOS'!I2:I470,'2.3.2 UNIDADES CONTRA INCENDIOS'!B2:B470,"Equipos Rotativos",'2.3.2 UNIDADES CONTRA INCENDIOS'!K2:K470,"IMPORTADO")*fac_des_arancel_rotativos)*(+$A27)</f>
        <v>0</v>
      </c>
      <c r="Q27" s="22">
        <f>(SUMIFS('2.3.2 UNIDADES CONTRA INCENDIOS'!I2:I470,'2.3.2 UNIDADES CONTRA INCENDIOS'!B2:B470,"Equipos",'2.3.2 UNIDADES CONTRA INCENDIOS'!K2:K470,"NACIONAL"))*(+$A27)</f>
        <v>24711.03075195053</v>
      </c>
      <c r="R27" s="22">
        <f>(SUMIFS('2.3.2 UNIDADES CONTRA INCENDIOS'!I2:I470,'2.3.2 UNIDADES CONTRA INCENDIOS'!B2:B470,"Equipos",'2.3.2 UNIDADES CONTRA INCENDIOS'!K2:K470,"IMPORTADO")*fac_des_arancel_materiales)*(+$A27)</f>
        <v>111510.98349023574</v>
      </c>
      <c r="S27" s="22">
        <f>($B27*(K27+N27))*(+$A27)</f>
        <v>0</v>
      </c>
      <c r="T27" s="22">
        <f>($B27*(L27))*(+$A27)</f>
        <v>0</v>
      </c>
      <c r="U27" s="22">
        <f>($B27*($O27+$Q27))*(+$A27)</f>
        <v>24711.03075195053</v>
      </c>
      <c r="V27" s="22">
        <f>($B27*($P27+$R27))*(+$A27)</f>
        <v>111510.98349023574</v>
      </c>
      <c r="W27" s="22">
        <f>($C27*($K27+$N27))*(+$A27)</f>
        <v>0</v>
      </c>
      <c r="X27" s="22">
        <f>($C27*($L27))*(+$A27)</f>
        <v>0</v>
      </c>
      <c r="Y27" s="22">
        <f>($C27*($O27+$Q27))*(+$A27)</f>
        <v>16474.020501300362</v>
      </c>
      <c r="Z27" s="22">
        <f>($C27*($P27+$R27))*(+$A27)</f>
        <v>74340.655660157194</v>
      </c>
      <c r="AA27" s="22">
        <f>($D27*($K27+$N27))*(+$A27)</f>
        <v>0</v>
      </c>
      <c r="AB27" s="22">
        <f>($D27*($L27))*(+$A27)</f>
        <v>0</v>
      </c>
      <c r="AC27" s="22">
        <f>($D27*($O27+$Q27))*(+$A27)</f>
        <v>12355.515375975265</v>
      </c>
      <c r="AD27" s="22">
        <f>($D27*($P27+$R27))*(+$A27)</f>
        <v>55755.49174511787</v>
      </c>
      <c r="AE27" s="22">
        <f>($E27*($K27+$N27))*(+$A27)</f>
        <v>0</v>
      </c>
      <c r="AF27" s="22">
        <f>($E27*($L27))*(+$A27)</f>
        <v>0</v>
      </c>
      <c r="AG27" s="22">
        <f>($E27*($O27+$Q27))*(+$A27)</f>
        <v>8237.010250650168</v>
      </c>
      <c r="AH27" s="22">
        <f>($E27*($P27+$R27))*(+$A27)</f>
        <v>37170.327830078539</v>
      </c>
      <c r="AI27" s="22">
        <f>($F27*($K27+$N27))*(+$A27)</f>
        <v>0</v>
      </c>
      <c r="AJ27" s="22">
        <f>($F27*($L27))*(+$A27)</f>
        <v>0</v>
      </c>
      <c r="AK27" s="22">
        <f>($F27*($O27+$Q27))*(+$A27)</f>
        <v>24711.03075195053</v>
      </c>
      <c r="AL27" s="22">
        <f>($F27*($P27+$R27))*(+$A27)</f>
        <v>111510.98349023574</v>
      </c>
      <c r="AM27" s="22">
        <f>($G27*($K27+$N27))*(+$A27)</f>
        <v>0</v>
      </c>
      <c r="AN27" s="22">
        <f>($G27*($L27))*(+$A27)</f>
        <v>0</v>
      </c>
      <c r="AO27" s="22">
        <f>($G27*($O27+$Q27))*(+$A27)</f>
        <v>0</v>
      </c>
      <c r="AP27" s="22">
        <f>($G27*($P27+$R27))*(+$A27)</f>
        <v>0</v>
      </c>
      <c r="AQ27" s="22">
        <f>($H27*($K27+$N27))*(+$A27)</f>
        <v>0</v>
      </c>
      <c r="AR27" s="22">
        <f>($H27*($L27))*(+$A27)</f>
        <v>0</v>
      </c>
      <c r="AS27" s="22">
        <f>($H27*($O27+$Q27))*(+$A27)</f>
        <v>0</v>
      </c>
      <c r="AT27" s="22">
        <f>($H27*($P27+$R27))*(+$A27)</f>
        <v>0</v>
      </c>
      <c r="AU27" s="22">
        <f>(SUM('2.3.2 UNIDADES CONTRA INCENDIOS'!J2:J470))*(+$A27)</f>
        <v>80940.987136021286</v>
      </c>
      <c r="AV27" s="22">
        <f t="shared" ref="AV27:BB29" si="6">(B27*$AU27)*(+$A27)</f>
        <v>80940.987136021286</v>
      </c>
      <c r="AW27" s="22">
        <f t="shared" si="6"/>
        <v>53960.658090680881</v>
      </c>
      <c r="AX27" s="22">
        <f t="shared" si="6"/>
        <v>40470.493568010643</v>
      </c>
      <c r="AY27" s="22">
        <f t="shared" si="6"/>
        <v>26980.329045340401</v>
      </c>
      <c r="AZ27" s="22">
        <f t="shared" si="6"/>
        <v>80940.987136021286</v>
      </c>
      <c r="BA27" s="22">
        <f t="shared" si="6"/>
        <v>0</v>
      </c>
      <c r="BB27" s="22">
        <f t="shared" si="6"/>
        <v>0</v>
      </c>
      <c r="BC27" s="22">
        <f>(SUMIF('2.3.2 UNIDADES CONTRA INCENDIOS'!$B$2:$B$1970,"Materiales",'2.3.2 UNIDADES CONTRA INCENDIOS'!$H$2:$H$1970))*(+$A27)</f>
        <v>0</v>
      </c>
      <c r="BD27" s="22">
        <f t="shared" ref="BD27:BJ29" si="7">(B27*$BC27)*(+$A27)</f>
        <v>0</v>
      </c>
      <c r="BE27" s="22">
        <f t="shared" si="7"/>
        <v>0</v>
      </c>
      <c r="BF27" s="22">
        <f t="shared" si="7"/>
        <v>0</v>
      </c>
      <c r="BG27" s="22">
        <f t="shared" si="7"/>
        <v>0</v>
      </c>
      <c r="BH27" s="22">
        <f t="shared" si="7"/>
        <v>0</v>
      </c>
      <c r="BI27" s="22">
        <f t="shared" si="7"/>
        <v>0</v>
      </c>
      <c r="BJ27" s="28">
        <f t="shared" si="7"/>
        <v>0</v>
      </c>
    </row>
    <row r="28" spans="1:62" ht="15.75" thickBot="1">
      <c r="A28" s="462" t="b">
        <f>+A27</f>
        <v>1</v>
      </c>
      <c r="B28" s="20">
        <v>1</v>
      </c>
      <c r="C28" s="20">
        <v>0.66666666666666696</v>
      </c>
      <c r="D28" s="20">
        <v>0.5</v>
      </c>
      <c r="E28" s="20">
        <v>0.22222222222222199</v>
      </c>
      <c r="F28" s="20">
        <v>0.625</v>
      </c>
      <c r="G28" s="20">
        <v>0</v>
      </c>
      <c r="H28" s="449">
        <v>0</v>
      </c>
      <c r="I28" s="446" t="s">
        <v>441</v>
      </c>
      <c r="J28" s="24" t="s">
        <v>442</v>
      </c>
      <c r="K28" s="22">
        <f>(SUMIFS('2.3.(3-6) DETECCION Y ALARMA'!I2:I500,'2.3.(3-6) DETECCION Y ALARMA'!B2:B500,"Materiales",'2.3.(3-6) DETECCION Y ALARMA'!K2:K500,"NACIONAL"))*(+$A28)</f>
        <v>9694.5029254959463</v>
      </c>
      <c r="L28" s="22">
        <f>(SUMIFS('2.3.(3-6) DETECCION Y ALARMA'!I2:I500,'2.3.(3-6) DETECCION Y ALARMA'!B2:B500,"Materiales",'2.3.(3-6) DETECCION Y ALARMA'!K2:K500,"IMPORTADO")*fac_des_arancel_materiales)*(+$A28)</f>
        <v>233207.26651961423</v>
      </c>
      <c r="M28" s="22">
        <f>(SUMIF('2.3.(3-6) DETECCION Y ALARMA'!$B$2:$B$2000,"Materiales",'2.3.(3-6) DETECCION Y ALARMA'!$H$2:$H$2000)*fac_sop_meta)*(+$A28)</f>
        <v>8448.6013312484083</v>
      </c>
      <c r="N28" s="22">
        <f>(M28*M3)*(+$A28)</f>
        <v>60137.802673794133</v>
      </c>
      <c r="O28" s="22">
        <f>(SUMIFS('2.3.(3-6) DETECCION Y ALARMA'!I2:I500,'2.3.(3-6) DETECCION Y ALARMA'!B2:B500,"Equipos Rotativos",'2.3.(3-6) DETECCION Y ALARMA'!K2:K500,"NACIONAL"))*(+$A28)</f>
        <v>0</v>
      </c>
      <c r="P28" s="22">
        <f>(SUMIFS('2.3.(3-6) DETECCION Y ALARMA'!I2:I500,'2.3.(3-6) DETECCION Y ALARMA'!B2:B500,"Equipos Rotativos",'2.3.(3-6) DETECCION Y ALARMA'!K2:K500,"IMPORTADO")*fac_des_arancel_rotativos)*(+$A28)</f>
        <v>0</v>
      </c>
      <c r="Q28" s="22">
        <f>(SUMIFS('2.3.(3-6) DETECCION Y ALARMA'!I2:I500,'2.3.(3-6) DETECCION Y ALARMA'!B2:B500,"Equipos",'2.3.(3-6) DETECCION Y ALARMA'!K2:K500,"NACIONAL"))*(+$A28)</f>
        <v>97366.755011905363</v>
      </c>
      <c r="R28" s="22">
        <f>(SUMIFS('2.3.(3-6) DETECCION Y ALARMA'!I2:I500,'2.3.(3-6) DETECCION Y ALARMA'!B2:B500,"Equipos",'2.3.(3-6) DETECCION Y ALARMA'!K2:K500,"IMPORTADO")*fac_des_arancel_materiales)*(+$A28)</f>
        <v>75572.001726143746</v>
      </c>
      <c r="S28" s="22">
        <f>($B28*(K28+N28))*(+$A28)</f>
        <v>69832.305599290077</v>
      </c>
      <c r="T28" s="22">
        <f>($B28*(L28))*(+$A28)</f>
        <v>233207.26651961423</v>
      </c>
      <c r="U28" s="22">
        <f>($B28*($O28+$Q28))*(+$A28)</f>
        <v>97366.755011905363</v>
      </c>
      <c r="V28" s="22">
        <f>($B28*($P28+$R28))*(+$A28)</f>
        <v>75572.001726143746</v>
      </c>
      <c r="W28" s="22">
        <f>($C28*($K28+$N28))*(+$A28)</f>
        <v>46554.870399526742</v>
      </c>
      <c r="X28" s="22">
        <f>($C28*($L28))*(+$A28)</f>
        <v>155471.51101307623</v>
      </c>
      <c r="Y28" s="22">
        <f>($C28*($O28+$Q28))*(+$A28)</f>
        <v>64911.17000793694</v>
      </c>
      <c r="Z28" s="22">
        <f>($C28*($P28+$R28))*(+$A28)</f>
        <v>50381.334484095853</v>
      </c>
      <c r="AA28" s="22">
        <f>($D28*($K28+$N28))*(+$A28)</f>
        <v>34916.152799645039</v>
      </c>
      <c r="AB28" s="22">
        <f>($D28*($L28))*(+$A28)</f>
        <v>116603.63325980712</v>
      </c>
      <c r="AC28" s="22">
        <f>($D28*($O28+$Q28))*(+$A28)</f>
        <v>48683.377505952682</v>
      </c>
      <c r="AD28" s="22">
        <f>($D28*($P28+$R28))*(+$A28)</f>
        <v>37786.000863071873</v>
      </c>
      <c r="AE28" s="22">
        <f>($E28*($K28+$N28))*(+$A28)</f>
        <v>15518.290133175557</v>
      </c>
      <c r="AF28" s="22">
        <f>($E28*($L28))*(+$A28)</f>
        <v>51823.837004358662</v>
      </c>
      <c r="AG28" s="22">
        <f>($E28*($O28+$Q28))*(+$A28)</f>
        <v>21637.056669312282</v>
      </c>
      <c r="AH28" s="22">
        <f>($E28*($P28+$R28))*(+$A28)</f>
        <v>16793.778161365259</v>
      </c>
      <c r="AI28" s="22">
        <f>($F28*($K28+$N28))*(+$A28)</f>
        <v>43645.190999556296</v>
      </c>
      <c r="AJ28" s="22">
        <f>($F28*($L28))*(+$A28)</f>
        <v>145754.54157475888</v>
      </c>
      <c r="AK28" s="22">
        <f>($F28*($O28+$Q28))*(+$A28)</f>
        <v>60854.221882440848</v>
      </c>
      <c r="AL28" s="22">
        <f>($F28*($P28+$R28))*(+$A28)</f>
        <v>47232.501078839843</v>
      </c>
      <c r="AM28" s="22">
        <f>($G28*($K28+$N28))*(+$A28)</f>
        <v>0</v>
      </c>
      <c r="AN28" s="22">
        <f>($G28*($L28))*(+$A28)</f>
        <v>0</v>
      </c>
      <c r="AO28" s="22">
        <f>($G28*($O28+$Q28))*(+$A28)</f>
        <v>0</v>
      </c>
      <c r="AP28" s="22">
        <f>($G28*($P28+$R28))*(+$A28)</f>
        <v>0</v>
      </c>
      <c r="AQ28" s="22">
        <f>($H28*($K28+$N28))*(+$A28)</f>
        <v>0</v>
      </c>
      <c r="AR28" s="22">
        <f>($H28*($L28))*(+$A28)</f>
        <v>0</v>
      </c>
      <c r="AS28" s="22">
        <f>($H28*($O28+$Q28))*(+$A28)</f>
        <v>0</v>
      </c>
      <c r="AT28" s="22">
        <f>($H28*($P28+$R28))*(+$A28)</f>
        <v>0</v>
      </c>
      <c r="AU28" s="22">
        <f>(SUM('2.3.(3-6) DETECCION Y ALARMA'!J2:J500))*(+$A28)</f>
        <v>2928269.4487574231</v>
      </c>
      <c r="AV28" s="22">
        <f t="shared" si="6"/>
        <v>2928269.4487574231</v>
      </c>
      <c r="AW28" s="22">
        <f t="shared" si="6"/>
        <v>1952179.6325049496</v>
      </c>
      <c r="AX28" s="22">
        <f t="shared" si="6"/>
        <v>1464134.7243787115</v>
      </c>
      <c r="AY28" s="22">
        <f t="shared" si="6"/>
        <v>650726.5441683156</v>
      </c>
      <c r="AZ28" s="22">
        <f t="shared" si="6"/>
        <v>1830168.4054733894</v>
      </c>
      <c r="BA28" s="22">
        <f t="shared" si="6"/>
        <v>0</v>
      </c>
      <c r="BB28" s="22">
        <f t="shared" si="6"/>
        <v>0</v>
      </c>
      <c r="BC28" s="22">
        <f>(SUMIF('2.3.(3-6) DETECCION Y ALARMA'!$B$2:$B$2000,"Materiales",'2.3.(3-6) DETECCION Y ALARMA'!$H$2:$H$2000))*(+$A28)</f>
        <v>84486.01331248408</v>
      </c>
      <c r="BD28" s="22">
        <f t="shared" si="7"/>
        <v>84486.01331248408</v>
      </c>
      <c r="BE28" s="22">
        <f t="shared" si="7"/>
        <v>56324.008874989413</v>
      </c>
      <c r="BF28" s="22">
        <f t="shared" si="7"/>
        <v>42243.00665624204</v>
      </c>
      <c r="BG28" s="22">
        <f t="shared" si="7"/>
        <v>18774.669624996441</v>
      </c>
      <c r="BH28" s="22">
        <f t="shared" si="7"/>
        <v>52803.75832030255</v>
      </c>
      <c r="BI28" s="22">
        <f t="shared" si="7"/>
        <v>0</v>
      </c>
      <c r="BJ28" s="28">
        <f t="shared" si="7"/>
        <v>0</v>
      </c>
    </row>
    <row r="29" spans="1:62" ht="15.75" thickBot="1">
      <c r="A29" s="462" t="b">
        <f>+A28</f>
        <v>1</v>
      </c>
      <c r="B29" s="20">
        <v>1</v>
      </c>
      <c r="C29" s="20">
        <v>1</v>
      </c>
      <c r="D29" s="20">
        <v>1</v>
      </c>
      <c r="E29" s="20">
        <v>1</v>
      </c>
      <c r="F29" s="20">
        <v>1</v>
      </c>
      <c r="G29" s="20">
        <v>0</v>
      </c>
      <c r="H29" s="449">
        <v>0</v>
      </c>
      <c r="I29" s="446" t="s">
        <v>443</v>
      </c>
      <c r="J29" s="24" t="s">
        <v>444</v>
      </c>
      <c r="K29" s="22">
        <f>(SUMIFS('2.3.(7-8) Extinción gas y espum'!I2:I464,'2.3.(7-8) Extinción gas y espum'!B2:B464,"Materiales",'2.3.(7-8) Extinción gas y espum'!K2:K464,"NACIONAL"))*(+$A29)</f>
        <v>0</v>
      </c>
      <c r="L29" s="22">
        <f>(SUMIFS('2.3.(7-8) Extinción gas y espum'!I2:I464,'2.3.(7-8) Extinción gas y espum'!B2:B464,"Materiales",'2.3.(7-8) Extinción gas y espum'!K2:K464,"IMPORTADO")*fac_des_arancel_materiales)*(+$A29)</f>
        <v>0</v>
      </c>
      <c r="M29" s="22">
        <f>(SUMIF('2.3.(7-8) Extinción gas y espum'!$B$2:$B$1964,"Materiales",'2.3.(7-8) Extinción gas y espum'!$H$2:$H$1964)*fac_sop_meta)*(+$A29)</f>
        <v>0</v>
      </c>
      <c r="N29" s="22">
        <f>(M29*M3)*(+$A29)</f>
        <v>0</v>
      </c>
      <c r="O29" s="22">
        <f>(SUMIFS('2.3.(7-8) Extinción gas y espum'!I2:I464,'2.3.(7-8) Extinción gas y espum'!B2:B464,"Equipos Rotativos",'2.3.(7-8) Extinción gas y espum'!K2:K464,"NACIONAL"))*(+$A29)</f>
        <v>0</v>
      </c>
      <c r="P29" s="22">
        <f>(SUMIFS('2.3.(7-8) Extinción gas y espum'!I2:I464,'2.3.(7-8) Extinción gas y espum'!B2:B464,"Equipos Rotativos",'2.3.(7-8) Extinción gas y espum'!K2:K464,"IMPORTADO")*fac_des_arancel_rotativos)*(+$A29)</f>
        <v>0</v>
      </c>
      <c r="Q29" s="22">
        <f>(SUMIFS('2.3.(7-8) Extinción gas y espum'!I2:I464,'2.3.(7-8) Extinción gas y espum'!B2:B464,"Equipos",'2.3.(7-8) Extinción gas y espum'!K2:K464,"NACIONAL"))*(+$A29)</f>
        <v>0</v>
      </c>
      <c r="R29" s="22">
        <f>(SUMIFS('2.3.(7-8) Extinción gas y espum'!I2:I464,'2.3.(7-8) Extinción gas y espum'!B2:B464,"Equipos",'2.3.(7-8) Extinción gas y espum'!K2:K464,"IMPORTADO")*fac_des_arancel_materiales)*(+$A29)</f>
        <v>84929.858144942133</v>
      </c>
      <c r="S29" s="22">
        <f>($B29*(K29+N29))*(+$A29)</f>
        <v>0</v>
      </c>
      <c r="T29" s="22">
        <f>($B29*(L29))*(+$A29)</f>
        <v>0</v>
      </c>
      <c r="U29" s="22">
        <f>($B29*($O29+$Q29))*(+$A29)</f>
        <v>0</v>
      </c>
      <c r="V29" s="22">
        <f>($B29*($P29+$R29))*(+$A29)</f>
        <v>84929.858144942133</v>
      </c>
      <c r="W29" s="22">
        <f>($C29*($K29+$N29))*(+$A29)</f>
        <v>0</v>
      </c>
      <c r="X29" s="22">
        <f>($C29*($L29))*(+$A29)</f>
        <v>0</v>
      </c>
      <c r="Y29" s="22">
        <f>($C29*($O29+$Q29))*(+$A29)</f>
        <v>0</v>
      </c>
      <c r="Z29" s="22">
        <f>($C29*($P29+$R29))*(+$A29)</f>
        <v>84929.858144942133</v>
      </c>
      <c r="AA29" s="22">
        <f>($D29*($K29+$N29))*(+$A29)</f>
        <v>0</v>
      </c>
      <c r="AB29" s="22">
        <f>($D29*($L29))*(+$A29)</f>
        <v>0</v>
      </c>
      <c r="AC29" s="22">
        <f>($D29*($O29+$Q29))*(+$A29)</f>
        <v>0</v>
      </c>
      <c r="AD29" s="22">
        <f>($D29*($P29+$R29))*(+$A29)</f>
        <v>84929.858144942133</v>
      </c>
      <c r="AE29" s="22">
        <f>($E29*($K29+$N29))*(+$A29)</f>
        <v>0</v>
      </c>
      <c r="AF29" s="22">
        <f>($E29*($L29))*(+$A29)</f>
        <v>0</v>
      </c>
      <c r="AG29" s="22">
        <f>($E29*($O29+$Q29))*(+$A29)</f>
        <v>0</v>
      </c>
      <c r="AH29" s="22">
        <f>($E29*($P29+$R29))*(+$A29)</f>
        <v>84929.858144942133</v>
      </c>
      <c r="AI29" s="22">
        <f>($F29*($K29+$N29))*(+$A29)</f>
        <v>0</v>
      </c>
      <c r="AJ29" s="22">
        <f>($F29*($L29))*(+$A29)</f>
        <v>0</v>
      </c>
      <c r="AK29" s="22">
        <f>($F29*($O29+$Q29))*(+$A29)</f>
        <v>0</v>
      </c>
      <c r="AL29" s="22">
        <f>($F29*($P29+$R29))*(+$A29)</f>
        <v>84929.858144942133</v>
      </c>
      <c r="AM29" s="22">
        <f>($G29*($K29+$N29))*(+$A29)</f>
        <v>0</v>
      </c>
      <c r="AN29" s="22">
        <f>($G29*($L29))*(+$A29)</f>
        <v>0</v>
      </c>
      <c r="AO29" s="22">
        <f>($G29*($O29+$Q29))*(+$A29)</f>
        <v>0</v>
      </c>
      <c r="AP29" s="22">
        <f>($G29*($P29+$R29))*(+$A29)</f>
        <v>0</v>
      </c>
      <c r="AQ29" s="22">
        <f>($H29*($K29+$N29))*(+$A29)</f>
        <v>0</v>
      </c>
      <c r="AR29" s="22">
        <f>($H29*($L29))*(+$A29)</f>
        <v>0</v>
      </c>
      <c r="AS29" s="22">
        <f>($H29*($O29+$Q29))*(+$A29)</f>
        <v>0</v>
      </c>
      <c r="AT29" s="22">
        <f>($H29*($P29+$R29))*(+$A29)</f>
        <v>0</v>
      </c>
      <c r="AU29" s="22">
        <f>(SUM('2.3.(7-8) Extinción gas y espum'!J2:J464))*(+$A29)</f>
        <v>3396729.5165425953</v>
      </c>
      <c r="AV29" s="22">
        <f t="shared" si="6"/>
        <v>3396729.5165425953</v>
      </c>
      <c r="AW29" s="22">
        <f t="shared" si="6"/>
        <v>3396729.5165425953</v>
      </c>
      <c r="AX29" s="22">
        <f t="shared" si="6"/>
        <v>3396729.5165425953</v>
      </c>
      <c r="AY29" s="22">
        <f t="shared" si="6"/>
        <v>3396729.5165425953</v>
      </c>
      <c r="AZ29" s="22">
        <f t="shared" si="6"/>
        <v>3396729.5165425953</v>
      </c>
      <c r="BA29" s="22">
        <f t="shared" si="6"/>
        <v>0</v>
      </c>
      <c r="BB29" s="22">
        <f t="shared" si="6"/>
        <v>0</v>
      </c>
      <c r="BC29" s="22">
        <f>(SUMIF('2.3.(7-8) Extinción gas y espum'!$B$2:$B$1964,"Materiales",'2.3.(7-8) Extinción gas y espum'!$H$2:$H$1964))*(+$A29)</f>
        <v>0</v>
      </c>
      <c r="BD29" s="22">
        <f t="shared" si="7"/>
        <v>0</v>
      </c>
      <c r="BE29" s="22">
        <f t="shared" si="7"/>
        <v>0</v>
      </c>
      <c r="BF29" s="22">
        <f t="shared" si="7"/>
        <v>0</v>
      </c>
      <c r="BG29" s="22">
        <f t="shared" si="7"/>
        <v>0</v>
      </c>
      <c r="BH29" s="22">
        <f t="shared" si="7"/>
        <v>0</v>
      </c>
      <c r="BI29" s="22">
        <f t="shared" si="7"/>
        <v>0</v>
      </c>
      <c r="BJ29" s="28">
        <f t="shared" si="7"/>
        <v>0</v>
      </c>
    </row>
    <row r="30" spans="1:62" ht="13.5" thickBot="1">
      <c r="A30" s="462"/>
      <c r="K30" s="482">
        <f>+SUM(K13:K16,K18:K22,K24:K25,K27:K29)</f>
        <v>57055.379346742266</v>
      </c>
      <c r="L30" s="482">
        <f>+SUM(L13:L16,L18:L22,L24:L25,L27:L29)</f>
        <v>1006839.7856303917</v>
      </c>
      <c r="M30" s="482">
        <f>+SUM(M13:M16,M18:M22,M24:M25,M27:M29)</f>
        <v>23656.958270655137</v>
      </c>
      <c r="N30" s="482">
        <f>+SUM(N13:N16,N18:N22,N24:N25,N27:N29)</f>
        <v>168392.07255298653</v>
      </c>
      <c r="O30" s="481">
        <f t="shared" ref="O30:BJ30" si="8">SUM(O13:O29)</f>
        <v>0</v>
      </c>
      <c r="P30" s="481">
        <f t="shared" si="8"/>
        <v>6315016.3678019363</v>
      </c>
      <c r="Q30" s="481">
        <f t="shared" si="8"/>
        <v>225679.50389983197</v>
      </c>
      <c r="R30" s="481">
        <f t="shared" si="8"/>
        <v>910565.64232555823</v>
      </c>
      <c r="S30" s="481">
        <f t="shared" si="8"/>
        <v>195381.90943323227</v>
      </c>
      <c r="T30" s="481">
        <f t="shared" si="8"/>
        <v>866772.83793011541</v>
      </c>
      <c r="U30" s="481">
        <f t="shared" si="8"/>
        <v>225679.50389983197</v>
      </c>
      <c r="V30" s="481">
        <f t="shared" si="8"/>
        <v>6747377.9302998576</v>
      </c>
      <c r="W30" s="481">
        <f t="shared" si="8"/>
        <v>111954.20426151605</v>
      </c>
      <c r="X30" s="481">
        <f t="shared" si="8"/>
        <v>533276.81262115121</v>
      </c>
      <c r="Y30" s="481">
        <f t="shared" si="8"/>
        <v>162692.05134529102</v>
      </c>
      <c r="Z30" s="481">
        <f t="shared" si="8"/>
        <v>6685016.9352277303</v>
      </c>
      <c r="AA30" s="481">
        <f t="shared" si="8"/>
        <v>83958.472265995108</v>
      </c>
      <c r="AB30" s="481">
        <f t="shared" si="8"/>
        <v>409190.45368988876</v>
      </c>
      <c r="AC30" s="481">
        <f t="shared" si="8"/>
        <v>131198.32506802044</v>
      </c>
      <c r="AD30" s="481">
        <f t="shared" si="8"/>
        <v>5936503.431478953</v>
      </c>
      <c r="AE30" s="481">
        <f t="shared" si="8"/>
        <v>108828.97652180787</v>
      </c>
      <c r="AF30" s="481">
        <f t="shared" si="8"/>
        <v>491883.0125345657</v>
      </c>
      <c r="AG30" s="481">
        <f t="shared" si="8"/>
        <v>81454.451356119636</v>
      </c>
      <c r="AH30" s="481">
        <f t="shared" si="8"/>
        <v>299242.68327298568</v>
      </c>
      <c r="AI30" s="481">
        <f t="shared" si="8"/>
        <v>144098.42681097426</v>
      </c>
      <c r="AJ30" s="481">
        <f t="shared" si="8"/>
        <v>611198.66089755995</v>
      </c>
      <c r="AK30" s="481">
        <f t="shared" si="8"/>
        <v>164085.25630795478</v>
      </c>
      <c r="AL30" s="481">
        <f t="shared" si="8"/>
        <v>404022.06185061747</v>
      </c>
      <c r="AM30" s="481">
        <f t="shared" si="8"/>
        <v>29589.715480742008</v>
      </c>
      <c r="AN30" s="481">
        <f t="shared" si="8"/>
        <v>157001.17543518892</v>
      </c>
      <c r="AO30" s="481">
        <f t="shared" si="8"/>
        <v>0</v>
      </c>
      <c r="AP30" s="481">
        <f t="shared" si="8"/>
        <v>6315016.3678019363</v>
      </c>
      <c r="AQ30" s="481">
        <f t="shared" si="8"/>
        <v>36987.144350927512</v>
      </c>
      <c r="AR30" s="481">
        <f t="shared" si="8"/>
        <v>196251.46929398616</v>
      </c>
      <c r="AS30" s="481">
        <f t="shared" si="8"/>
        <v>0</v>
      </c>
      <c r="AT30" s="481">
        <f t="shared" si="8"/>
        <v>7893770.45975242</v>
      </c>
      <c r="AU30" s="481">
        <f t="shared" si="8"/>
        <v>9042338.2056079805</v>
      </c>
      <c r="AV30" s="481">
        <f t="shared" si="8"/>
        <v>8822132.240176348</v>
      </c>
      <c r="AW30" s="481">
        <f t="shared" si="8"/>
        <v>7521255.0488434415</v>
      </c>
      <c r="AX30" s="481">
        <f t="shared" si="8"/>
        <v>6742909.171939332</v>
      </c>
      <c r="AY30" s="481">
        <f t="shared" si="8"/>
        <v>4561662.4763329308</v>
      </c>
      <c r="AZ30" s="481">
        <f t="shared" si="8"/>
        <v>5825246.6188476924</v>
      </c>
      <c r="BA30" s="481">
        <f t="shared" si="8"/>
        <v>1826656.8836881893</v>
      </c>
      <c r="BB30" s="481">
        <f t="shared" si="8"/>
        <v>2283321.1046102368</v>
      </c>
      <c r="BC30" s="481">
        <f t="shared" si="8"/>
        <v>222218.65332730979</v>
      </c>
      <c r="BD30" s="481">
        <f t="shared" si="8"/>
        <v>190916.63039777329</v>
      </c>
      <c r="BE30" s="481">
        <f t="shared" si="8"/>
        <v>98618.115749132965</v>
      </c>
      <c r="BF30" s="481">
        <f t="shared" si="8"/>
        <v>84820.850451039092</v>
      </c>
      <c r="BG30" s="481">
        <f t="shared" si="8"/>
        <v>117484.84223208067</v>
      </c>
      <c r="BH30" s="481">
        <f t="shared" si="8"/>
        <v>157297.88278217328</v>
      </c>
      <c r="BI30" s="481">
        <f t="shared" si="8"/>
        <v>25534.690152775369</v>
      </c>
      <c r="BJ30" s="481">
        <f t="shared" si="8"/>
        <v>31918.36269096921</v>
      </c>
    </row>
    <row r="31" spans="1:62" ht="13.5" thickBot="1">
      <c r="A31" s="462"/>
    </row>
    <row r="32" spans="1:62" ht="26.25" thickBot="1">
      <c r="A32" s="462"/>
      <c r="B32" s="717" t="s">
        <v>416</v>
      </c>
      <c r="C32" s="717"/>
      <c r="D32" s="717"/>
      <c r="E32" s="717"/>
      <c r="F32" s="717"/>
      <c r="G32" s="717"/>
      <c r="H32" s="717"/>
      <c r="I32" s="450"/>
      <c r="J32" s="12" t="s">
        <v>445</v>
      </c>
      <c r="K32" s="5" t="s">
        <v>446</v>
      </c>
      <c r="L32" s="5" t="s">
        <v>399</v>
      </c>
      <c r="M32" s="11" t="s">
        <v>400</v>
      </c>
      <c r="N32" s="5" t="s">
        <v>106</v>
      </c>
      <c r="O32" s="11" t="s">
        <v>401</v>
      </c>
      <c r="P32" s="5" t="s">
        <v>402</v>
      </c>
      <c r="Q32" s="11" t="s">
        <v>414</v>
      </c>
      <c r="R32" s="27" t="s">
        <v>109</v>
      </c>
    </row>
    <row r="33" spans="1:30" ht="15.75" thickBot="1">
      <c r="A33" s="463" t="b">
        <f>Inicio!$F$13</f>
        <v>1</v>
      </c>
      <c r="B33" s="20">
        <v>1</v>
      </c>
      <c r="C33" s="20">
        <v>1</v>
      </c>
      <c r="D33" s="20">
        <v>1</v>
      </c>
      <c r="E33" s="20">
        <v>1</v>
      </c>
      <c r="F33" s="20">
        <v>1</v>
      </c>
      <c r="G33" s="20">
        <v>0</v>
      </c>
      <c r="H33" s="449">
        <v>0</v>
      </c>
      <c r="I33" s="444">
        <v>2.4</v>
      </c>
      <c r="J33" s="19" t="s">
        <v>30</v>
      </c>
      <c r="K33" s="22">
        <f>('2.4 SIST.COMUNICACIONES'!J18)*(+$A33)</f>
        <v>218158.51542573143</v>
      </c>
      <c r="L33" s="22">
        <f t="shared" ref="L33:R33" si="9">B33*$K33</f>
        <v>218158.51542573143</v>
      </c>
      <c r="M33" s="22">
        <f t="shared" si="9"/>
        <v>218158.51542573143</v>
      </c>
      <c r="N33" s="22">
        <f t="shared" si="9"/>
        <v>218158.51542573143</v>
      </c>
      <c r="O33" s="22">
        <f t="shared" si="9"/>
        <v>218158.51542573143</v>
      </c>
      <c r="P33" s="22">
        <f t="shared" si="9"/>
        <v>218158.51542573143</v>
      </c>
      <c r="Q33" s="22">
        <f t="shared" si="9"/>
        <v>0</v>
      </c>
      <c r="R33" s="28">
        <f t="shared" si="9"/>
        <v>0</v>
      </c>
    </row>
    <row r="34" spans="1:30" ht="15.75" thickBot="1">
      <c r="A34" s="463" t="b">
        <f>Inicio!J20</f>
        <v>1</v>
      </c>
      <c r="B34" s="711"/>
      <c r="C34" s="711"/>
      <c r="D34" s="711"/>
      <c r="E34" s="711"/>
      <c r="F34" s="711"/>
      <c r="G34" s="711"/>
      <c r="H34" s="711"/>
      <c r="I34" s="444">
        <v>2.5</v>
      </c>
      <c r="J34" s="19" t="s">
        <v>43</v>
      </c>
      <c r="K34" s="710"/>
      <c r="L34" s="710"/>
      <c r="M34" s="710"/>
      <c r="N34" s="710"/>
      <c r="O34" s="710"/>
      <c r="P34" s="710"/>
      <c r="Q34" s="710"/>
      <c r="R34" s="710"/>
    </row>
    <row r="35" spans="1:30" ht="15.75" thickBot="1">
      <c r="A35" s="462" t="b">
        <f>+A34</f>
        <v>1</v>
      </c>
      <c r="B35" s="20">
        <v>1</v>
      </c>
      <c r="C35" s="20">
        <v>1</v>
      </c>
      <c r="D35" s="20">
        <v>1</v>
      </c>
      <c r="E35" s="20">
        <v>0.22222222222222199</v>
      </c>
      <c r="F35" s="20">
        <v>0.53125</v>
      </c>
      <c r="G35" s="20">
        <v>0</v>
      </c>
      <c r="H35" s="449">
        <v>0</v>
      </c>
      <c r="I35" s="446" t="s">
        <v>447</v>
      </c>
      <c r="J35" s="24" t="s">
        <v>448</v>
      </c>
      <c r="K35" s="22">
        <f>('2.5 SISTEMA ELECTRICO'!I13)*(+$A35)</f>
        <v>339329.84729330888</v>
      </c>
      <c r="L35" s="22">
        <f t="shared" ref="L35:L63" si="10">B35*$K35</f>
        <v>339329.84729330888</v>
      </c>
      <c r="M35" s="22">
        <f t="shared" ref="M35:M63" si="11">C35*$K35</f>
        <v>339329.84729330888</v>
      </c>
      <c r="N35" s="22">
        <f t="shared" ref="N35:N63" si="12">D35*$K35</f>
        <v>339329.84729330888</v>
      </c>
      <c r="O35" s="22">
        <f t="shared" ref="O35:O63" si="13">E35*$K35</f>
        <v>75406.632731846345</v>
      </c>
      <c r="P35" s="22">
        <f t="shared" ref="P35:P63" si="14">F35*$K35</f>
        <v>180268.98137457034</v>
      </c>
      <c r="Q35" s="22">
        <f t="shared" ref="Q35:Q63" si="15">G35*$K35</f>
        <v>0</v>
      </c>
      <c r="R35" s="28">
        <f t="shared" ref="R35:R63" si="16">H35*$K35</f>
        <v>0</v>
      </c>
    </row>
    <row r="36" spans="1:30" ht="15.75" thickBot="1">
      <c r="A36" s="462" t="b">
        <f>+A35</f>
        <v>1</v>
      </c>
      <c r="B36" s="20">
        <v>1</v>
      </c>
      <c r="C36" s="20">
        <v>1</v>
      </c>
      <c r="D36" s="20">
        <v>1</v>
      </c>
      <c r="E36" s="20">
        <v>0.22222222222222199</v>
      </c>
      <c r="F36" s="20">
        <v>0.53125</v>
      </c>
      <c r="G36" s="20">
        <v>0</v>
      </c>
      <c r="H36" s="449">
        <v>0</v>
      </c>
      <c r="I36" s="446" t="s">
        <v>449</v>
      </c>
      <c r="J36" s="24" t="s">
        <v>450</v>
      </c>
      <c r="K36" s="22">
        <f>('2.5 SISTEMA ELECTRICO'!I15)*(+$A36)</f>
        <v>860823.62773450045</v>
      </c>
      <c r="L36" s="22">
        <f t="shared" si="10"/>
        <v>860823.62773450045</v>
      </c>
      <c r="M36" s="22">
        <f t="shared" si="11"/>
        <v>860823.62773450045</v>
      </c>
      <c r="N36" s="22">
        <f t="shared" si="12"/>
        <v>860823.62773450045</v>
      </c>
      <c r="O36" s="22">
        <f t="shared" si="13"/>
        <v>191294.13949655546</v>
      </c>
      <c r="P36" s="22">
        <f t="shared" si="14"/>
        <v>457312.55223395338</v>
      </c>
      <c r="Q36" s="22">
        <f t="shared" si="15"/>
        <v>0</v>
      </c>
      <c r="R36" s="28">
        <f t="shared" si="16"/>
        <v>0</v>
      </c>
    </row>
    <row r="37" spans="1:30" ht="15.75" thickBot="1">
      <c r="A37" s="462" t="b">
        <f>+A36</f>
        <v>1</v>
      </c>
      <c r="B37" s="20">
        <v>1</v>
      </c>
      <c r="C37" s="20">
        <v>1</v>
      </c>
      <c r="D37" s="20">
        <v>1</v>
      </c>
      <c r="E37" s="20">
        <v>0.22222222222222199</v>
      </c>
      <c r="F37" s="20">
        <v>0.53125</v>
      </c>
      <c r="G37" s="20">
        <v>0</v>
      </c>
      <c r="H37" s="449">
        <v>0</v>
      </c>
      <c r="I37" s="446" t="s">
        <v>451</v>
      </c>
      <c r="J37" s="24" t="s">
        <v>452</v>
      </c>
      <c r="K37" s="22">
        <f>('2.5 SISTEMA ELECTRICO'!I17)*(+$A37)</f>
        <v>233652.12752793584</v>
      </c>
      <c r="L37" s="22">
        <f t="shared" si="10"/>
        <v>233652.12752793584</v>
      </c>
      <c r="M37" s="22">
        <f t="shared" si="11"/>
        <v>233652.12752793584</v>
      </c>
      <c r="N37" s="22">
        <f t="shared" si="12"/>
        <v>233652.12752793584</v>
      </c>
      <c r="O37" s="22">
        <f t="shared" si="13"/>
        <v>51922.695006207912</v>
      </c>
      <c r="P37" s="22">
        <f t="shared" si="14"/>
        <v>124127.69274921592</v>
      </c>
      <c r="Q37" s="22">
        <f t="shared" si="15"/>
        <v>0</v>
      </c>
      <c r="R37" s="28">
        <f t="shared" si="16"/>
        <v>0</v>
      </c>
    </row>
    <row r="38" spans="1:30" ht="15.75" thickBot="1">
      <c r="A38" s="462" t="b">
        <f>+A37</f>
        <v>1</v>
      </c>
      <c r="B38" s="20">
        <v>1</v>
      </c>
      <c r="C38" s="20">
        <v>1</v>
      </c>
      <c r="D38" s="20">
        <v>1</v>
      </c>
      <c r="E38" s="20">
        <v>1</v>
      </c>
      <c r="F38" s="20">
        <v>1</v>
      </c>
      <c r="G38" s="20">
        <v>0</v>
      </c>
      <c r="H38" s="449">
        <v>0</v>
      </c>
      <c r="I38" s="446" t="s">
        <v>453</v>
      </c>
      <c r="J38" s="24" t="s">
        <v>454</v>
      </c>
      <c r="K38" s="22">
        <f>('2.5 SISTEMA ELECTRICO'!I19)*(+$A38)</f>
        <v>110677.32356586434</v>
      </c>
      <c r="L38" s="22">
        <f t="shared" si="10"/>
        <v>110677.32356586434</v>
      </c>
      <c r="M38" s="22">
        <f t="shared" si="11"/>
        <v>110677.32356586434</v>
      </c>
      <c r="N38" s="22">
        <f t="shared" si="12"/>
        <v>110677.32356586434</v>
      </c>
      <c r="O38" s="22">
        <f t="shared" si="13"/>
        <v>110677.32356586434</v>
      </c>
      <c r="P38" s="22">
        <f t="shared" si="14"/>
        <v>110677.32356586434</v>
      </c>
      <c r="Q38" s="22">
        <f t="shared" si="15"/>
        <v>0</v>
      </c>
      <c r="R38" s="28">
        <f t="shared" si="16"/>
        <v>0</v>
      </c>
    </row>
    <row r="39" spans="1:30" ht="14.1" customHeight="1" thickBot="1">
      <c r="A39" s="462" t="b">
        <f t="shared" ref="A39:A45" si="17">+A38</f>
        <v>1</v>
      </c>
      <c r="B39" s="20">
        <v>1</v>
      </c>
      <c r="C39" s="20">
        <v>1</v>
      </c>
      <c r="D39" s="20">
        <v>1</v>
      </c>
      <c r="E39" s="20">
        <v>1</v>
      </c>
      <c r="F39" s="20">
        <v>1</v>
      </c>
      <c r="G39" s="20">
        <v>0</v>
      </c>
      <c r="H39" s="449">
        <v>0</v>
      </c>
      <c r="I39" s="446" t="s">
        <v>455</v>
      </c>
      <c r="J39" s="24" t="s">
        <v>456</v>
      </c>
      <c r="K39" s="22">
        <f>('2.5 SISTEMA ELECTRICO'!I21)*(+$A39)</f>
        <v>92231.102971553613</v>
      </c>
      <c r="L39" s="22">
        <f t="shared" si="10"/>
        <v>92231.102971553613</v>
      </c>
      <c r="M39" s="22">
        <f t="shared" si="11"/>
        <v>92231.102971553613</v>
      </c>
      <c r="N39" s="22">
        <f t="shared" si="12"/>
        <v>92231.102971553613</v>
      </c>
      <c r="O39" s="22">
        <f t="shared" si="13"/>
        <v>92231.102971553613</v>
      </c>
      <c r="P39" s="22">
        <f t="shared" si="14"/>
        <v>92231.102971553613</v>
      </c>
      <c r="Q39" s="22">
        <f t="shared" si="15"/>
        <v>0</v>
      </c>
      <c r="R39" s="28">
        <f t="shared" si="16"/>
        <v>0</v>
      </c>
      <c r="U39" s="706" t="s">
        <v>457</v>
      </c>
      <c r="V39" s="706"/>
      <c r="W39" s="706"/>
      <c r="X39" s="706"/>
      <c r="Y39" s="706"/>
      <c r="Z39" s="706"/>
      <c r="AA39" s="706"/>
      <c r="AB39" s="707" t="s">
        <v>458</v>
      </c>
      <c r="AC39" s="708" t="s">
        <v>459</v>
      </c>
      <c r="AD39" s="702" t="s">
        <v>460</v>
      </c>
    </row>
    <row r="40" spans="1:30" ht="16.5" customHeight="1" thickBot="1">
      <c r="A40" s="462" t="b">
        <f t="shared" si="17"/>
        <v>1</v>
      </c>
      <c r="B40" s="20">
        <v>1</v>
      </c>
      <c r="C40" s="20">
        <v>1</v>
      </c>
      <c r="D40" s="20">
        <v>0.5</v>
      </c>
      <c r="E40" s="20">
        <v>0.33333333333333298</v>
      </c>
      <c r="F40" s="20">
        <v>0.53125</v>
      </c>
      <c r="G40" s="20">
        <v>0.33333333333333298</v>
      </c>
      <c r="H40" s="449">
        <v>0.66666666666666696</v>
      </c>
      <c r="I40" s="446" t="s">
        <v>461</v>
      </c>
      <c r="J40" s="24" t="s">
        <v>462</v>
      </c>
      <c r="K40" s="22">
        <f>('2.5 SISTEMA ELECTRICO'!I32)*(+$A40)</f>
        <v>1042234.3072812222</v>
      </c>
      <c r="L40" s="22">
        <f t="shared" si="10"/>
        <v>1042234.3072812222</v>
      </c>
      <c r="M40" s="22">
        <f t="shared" si="11"/>
        <v>1042234.3072812222</v>
      </c>
      <c r="N40" s="22">
        <f t="shared" si="12"/>
        <v>521117.1536406111</v>
      </c>
      <c r="O40" s="22">
        <f t="shared" si="13"/>
        <v>347411.43576040701</v>
      </c>
      <c r="P40" s="22">
        <f t="shared" si="14"/>
        <v>553686.97574314929</v>
      </c>
      <c r="Q40" s="22">
        <f t="shared" si="15"/>
        <v>347411.43576040701</v>
      </c>
      <c r="R40" s="28">
        <f t="shared" si="16"/>
        <v>694822.87152081507</v>
      </c>
      <c r="U40" s="706"/>
      <c r="V40" s="706"/>
      <c r="W40" s="706"/>
      <c r="X40" s="706"/>
      <c r="Y40" s="706"/>
      <c r="Z40" s="706"/>
      <c r="AA40" s="706"/>
      <c r="AB40" s="707"/>
      <c r="AC40" s="708"/>
      <c r="AD40" s="702"/>
    </row>
    <row r="41" spans="1:30" ht="15.75" thickBot="1">
      <c r="A41" s="462" t="b">
        <f t="shared" si="17"/>
        <v>1</v>
      </c>
      <c r="B41" s="20">
        <v>1</v>
      </c>
      <c r="C41" s="20">
        <v>1</v>
      </c>
      <c r="D41" s="20">
        <v>0.5</v>
      </c>
      <c r="E41" s="20">
        <v>0.33333333333333298</v>
      </c>
      <c r="F41" s="20">
        <v>0.53125</v>
      </c>
      <c r="G41" s="20">
        <v>0.33333333333333298</v>
      </c>
      <c r="H41" s="449">
        <v>0.66666666666666696</v>
      </c>
      <c r="I41" s="446" t="s">
        <v>463</v>
      </c>
      <c r="J41" s="24" t="s">
        <v>464</v>
      </c>
      <c r="K41" s="22">
        <f>('2.5 SISTEMA ELECTRICO'!I39)*(+$A41)</f>
        <v>301894.33025617764</v>
      </c>
      <c r="L41" s="22">
        <f t="shared" si="10"/>
        <v>301894.33025617764</v>
      </c>
      <c r="M41" s="22">
        <f t="shared" si="11"/>
        <v>301894.33025617764</v>
      </c>
      <c r="N41" s="22">
        <f t="shared" si="12"/>
        <v>150947.16512808882</v>
      </c>
      <c r="O41" s="22">
        <f t="shared" si="13"/>
        <v>100631.44341872577</v>
      </c>
      <c r="P41" s="22">
        <f t="shared" si="14"/>
        <v>160381.36294859438</v>
      </c>
      <c r="Q41" s="22">
        <f t="shared" si="15"/>
        <v>100631.44341872577</v>
      </c>
      <c r="R41" s="28">
        <f t="shared" si="16"/>
        <v>201262.88683745184</v>
      </c>
      <c r="U41" s="704" t="s">
        <v>465</v>
      </c>
      <c r="V41" s="705"/>
      <c r="W41" s="705"/>
      <c r="X41" s="705" t="s">
        <v>466</v>
      </c>
      <c r="Y41" s="705"/>
      <c r="Z41" s="705" t="s">
        <v>467</v>
      </c>
      <c r="AA41" s="705"/>
      <c r="AB41" s="707"/>
      <c r="AC41" s="709"/>
      <c r="AD41" s="702"/>
    </row>
    <row r="42" spans="1:30" ht="15.75" thickBot="1">
      <c r="A42" s="462" t="b">
        <f t="shared" si="17"/>
        <v>1</v>
      </c>
      <c r="B42" s="20">
        <v>1</v>
      </c>
      <c r="C42" s="20">
        <v>0.66666666666666696</v>
      </c>
      <c r="D42" s="20">
        <v>0.5</v>
      </c>
      <c r="E42" s="20">
        <v>0.22222222222222199</v>
      </c>
      <c r="F42" s="20">
        <v>0.625</v>
      </c>
      <c r="G42" s="20">
        <v>0</v>
      </c>
      <c r="H42" s="449">
        <v>0</v>
      </c>
      <c r="I42" s="446" t="s">
        <v>468</v>
      </c>
      <c r="J42" s="24" t="s">
        <v>469</v>
      </c>
      <c r="K42" s="22">
        <f>('2.5 SISTEMA ELECTRICO'!I44)*(+$A42)</f>
        <v>28615.535258449756</v>
      </c>
      <c r="L42" s="22">
        <f t="shared" si="10"/>
        <v>28615.535258449756</v>
      </c>
      <c r="M42" s="22">
        <f t="shared" si="11"/>
        <v>19077.02350563318</v>
      </c>
      <c r="N42" s="22">
        <f t="shared" si="12"/>
        <v>14307.767629224878</v>
      </c>
      <c r="O42" s="22">
        <f t="shared" si="13"/>
        <v>6359.0078352110504</v>
      </c>
      <c r="P42" s="22">
        <f t="shared" si="14"/>
        <v>17884.709536531096</v>
      </c>
      <c r="Q42" s="22">
        <f t="shared" si="15"/>
        <v>0</v>
      </c>
      <c r="R42" s="28">
        <f t="shared" si="16"/>
        <v>0</v>
      </c>
      <c r="U42" s="704"/>
      <c r="V42" s="705"/>
      <c r="W42" s="705"/>
      <c r="X42" s="344" t="s">
        <v>418</v>
      </c>
      <c r="Y42" s="344" t="s">
        <v>419</v>
      </c>
      <c r="Z42" s="344" t="s">
        <v>418</v>
      </c>
      <c r="AA42" s="344" t="s">
        <v>419</v>
      </c>
      <c r="AB42" s="707"/>
      <c r="AC42" s="709"/>
      <c r="AD42" s="702"/>
    </row>
    <row r="43" spans="1:30" ht="15.75" thickBot="1">
      <c r="A43" s="462" t="b">
        <f t="shared" si="17"/>
        <v>1</v>
      </c>
      <c r="B43" s="20">
        <v>1</v>
      </c>
      <c r="C43" s="20">
        <v>1</v>
      </c>
      <c r="D43" s="20">
        <v>1</v>
      </c>
      <c r="E43" s="20">
        <v>1</v>
      </c>
      <c r="F43" s="20">
        <v>1</v>
      </c>
      <c r="G43" s="20">
        <v>0</v>
      </c>
      <c r="H43" s="449">
        <v>0</v>
      </c>
      <c r="I43" s="446" t="s">
        <v>470</v>
      </c>
      <c r="J43" s="24" t="s">
        <v>471</v>
      </c>
      <c r="K43" s="22">
        <f>('2.5 SISTEMA ELECTRICO'!I46)*(+$A43)</f>
        <v>88646.329973147716</v>
      </c>
      <c r="L43" s="22">
        <f t="shared" si="10"/>
        <v>88646.329973147716</v>
      </c>
      <c r="M43" s="22">
        <f t="shared" si="11"/>
        <v>88646.329973147716</v>
      </c>
      <c r="N43" s="22">
        <f t="shared" si="12"/>
        <v>88646.329973147716</v>
      </c>
      <c r="O43" s="22">
        <f t="shared" si="13"/>
        <v>88646.329973147716</v>
      </c>
      <c r="P43" s="22">
        <f t="shared" si="14"/>
        <v>88646.329973147716</v>
      </c>
      <c r="Q43" s="22">
        <f t="shared" si="15"/>
        <v>0</v>
      </c>
      <c r="R43" s="28">
        <f t="shared" si="16"/>
        <v>0</v>
      </c>
      <c r="U43" s="704" t="s">
        <v>104</v>
      </c>
      <c r="V43" s="705"/>
      <c r="W43" s="705"/>
      <c r="X43" s="22">
        <f>S30</f>
        <v>195381.90943323227</v>
      </c>
      <c r="Y43" s="22">
        <f>T30</f>
        <v>866772.83793011541</v>
      </c>
      <c r="Z43" s="22">
        <f>U30</f>
        <v>225679.50389983197</v>
      </c>
      <c r="AA43" s="28">
        <f>V30</f>
        <v>6747377.9302998576</v>
      </c>
      <c r="AB43" s="22">
        <f>AV30+L95</f>
        <v>27025812.92116525</v>
      </c>
      <c r="AC43" s="29">
        <f>BD30</f>
        <v>190916.63039777329</v>
      </c>
      <c r="AD43" s="29">
        <f>SUM(L72:L77)</f>
        <v>1535903.0742942032</v>
      </c>
    </row>
    <row r="44" spans="1:30" ht="15.75" thickBot="1">
      <c r="A44" s="462" t="b">
        <f t="shared" si="17"/>
        <v>1</v>
      </c>
      <c r="B44" s="20">
        <v>1</v>
      </c>
      <c r="C44" s="20">
        <v>1</v>
      </c>
      <c r="D44" s="20">
        <v>1</v>
      </c>
      <c r="E44" s="20">
        <v>1</v>
      </c>
      <c r="F44" s="20">
        <v>1</v>
      </c>
      <c r="G44" s="20">
        <v>0</v>
      </c>
      <c r="H44" s="449">
        <v>0</v>
      </c>
      <c r="I44" s="446" t="s">
        <v>472</v>
      </c>
      <c r="J44" s="24" t="s">
        <v>473</v>
      </c>
      <c r="K44" s="22">
        <f>('2.5 SISTEMA ELECTRICO'!I50)*(+$A44)</f>
        <v>76065.936382911153</v>
      </c>
      <c r="L44" s="22">
        <f t="shared" si="10"/>
        <v>76065.936382911153</v>
      </c>
      <c r="M44" s="22">
        <f t="shared" si="11"/>
        <v>76065.936382911153</v>
      </c>
      <c r="N44" s="22">
        <f t="shared" si="12"/>
        <v>76065.936382911153</v>
      </c>
      <c r="O44" s="22">
        <f t="shared" si="13"/>
        <v>76065.936382911153</v>
      </c>
      <c r="P44" s="22">
        <f t="shared" si="14"/>
        <v>76065.936382911153</v>
      </c>
      <c r="Q44" s="22">
        <f t="shared" si="15"/>
        <v>0</v>
      </c>
      <c r="R44" s="28">
        <f t="shared" si="16"/>
        <v>0</v>
      </c>
      <c r="U44" s="704" t="s">
        <v>105</v>
      </c>
      <c r="V44" s="705"/>
      <c r="W44" s="705"/>
      <c r="X44" s="22">
        <f>W30</f>
        <v>111954.20426151605</v>
      </c>
      <c r="Y44" s="22">
        <f>X30</f>
        <v>533276.81262115121</v>
      </c>
      <c r="Z44" s="22">
        <f>Y30</f>
        <v>162692.05134529102</v>
      </c>
      <c r="AA44" s="28">
        <f>Z30</f>
        <v>6685016.9352277303</v>
      </c>
      <c r="AB44" s="22">
        <f>AW30+M95</f>
        <v>25468623.258002073</v>
      </c>
      <c r="AC44" s="29">
        <f>BE30</f>
        <v>98618.115749132965</v>
      </c>
      <c r="AD44" s="29">
        <f>SUM(M72:M77)</f>
        <v>1535903.0742942032</v>
      </c>
    </row>
    <row r="45" spans="1:30" ht="15.75" thickBot="1">
      <c r="A45" s="462" t="b">
        <f t="shared" si="17"/>
        <v>1</v>
      </c>
      <c r="B45" s="20">
        <v>1</v>
      </c>
      <c r="C45" s="20">
        <v>1</v>
      </c>
      <c r="D45" s="20">
        <v>0.75</v>
      </c>
      <c r="E45" s="20">
        <v>0.33333333333333298</v>
      </c>
      <c r="F45" s="20">
        <v>0.53125</v>
      </c>
      <c r="G45" s="20">
        <v>0</v>
      </c>
      <c r="H45" s="449">
        <v>0</v>
      </c>
      <c r="I45" s="446" t="s">
        <v>474</v>
      </c>
      <c r="J45" s="24" t="s">
        <v>475</v>
      </c>
      <c r="K45" s="22">
        <f>('2.5 SISTEMA ELECTRICO'!I52+'2.5 SISTEMA ELECTRICO'!L52)*(+$A45)</f>
        <v>160623.84260773726</v>
      </c>
      <c r="L45" s="22">
        <f t="shared" si="10"/>
        <v>160623.84260773726</v>
      </c>
      <c r="M45" s="22">
        <f t="shared" si="11"/>
        <v>160623.84260773726</v>
      </c>
      <c r="N45" s="22">
        <f t="shared" si="12"/>
        <v>120467.88195580294</v>
      </c>
      <c r="O45" s="22">
        <f t="shared" si="13"/>
        <v>53541.280869245697</v>
      </c>
      <c r="P45" s="22">
        <f t="shared" si="14"/>
        <v>85331.416385360411</v>
      </c>
      <c r="Q45" s="22">
        <f t="shared" si="15"/>
        <v>0</v>
      </c>
      <c r="R45" s="28">
        <f t="shared" si="16"/>
        <v>0</v>
      </c>
      <c r="U45" s="704" t="s">
        <v>106</v>
      </c>
      <c r="V45" s="705"/>
      <c r="W45" s="705"/>
      <c r="X45" s="22">
        <f>AA30</f>
        <v>83958.472265995108</v>
      </c>
      <c r="Y45" s="22">
        <f>AB30</f>
        <v>409190.45368988876</v>
      </c>
      <c r="Z45" s="22">
        <f>AC30</f>
        <v>131198.32506802044</v>
      </c>
      <c r="AA45" s="28">
        <f>AD30</f>
        <v>5936503.431478953</v>
      </c>
      <c r="AB45" s="22">
        <f>AX30+N95</f>
        <v>21241287.416398209</v>
      </c>
      <c r="AC45" s="29">
        <f>BF30</f>
        <v>84820.850451039092</v>
      </c>
      <c r="AD45" s="391">
        <f>SUM(N72:N77)</f>
        <v>949451.03126917826</v>
      </c>
    </row>
    <row r="46" spans="1:30" ht="15.75" thickBot="1">
      <c r="A46" s="463" t="b">
        <f>Inicio!F12</f>
        <v>1</v>
      </c>
      <c r="B46" s="711"/>
      <c r="C46" s="711"/>
      <c r="D46" s="711"/>
      <c r="E46" s="711"/>
      <c r="F46" s="711"/>
      <c r="G46" s="711"/>
      <c r="H46" s="711"/>
      <c r="I46" s="447">
        <v>2.6</v>
      </c>
      <c r="J46" s="19" t="s">
        <v>476</v>
      </c>
      <c r="K46" s="710"/>
      <c r="L46" s="710">
        <f t="shared" si="10"/>
        <v>0</v>
      </c>
      <c r="M46" s="710">
        <f t="shared" si="11"/>
        <v>0</v>
      </c>
      <c r="N46" s="710">
        <f t="shared" si="12"/>
        <v>0</v>
      </c>
      <c r="O46" s="710">
        <f t="shared" si="13"/>
        <v>0</v>
      </c>
      <c r="P46" s="710">
        <f t="shared" si="14"/>
        <v>0</v>
      </c>
      <c r="Q46" s="710">
        <f t="shared" si="15"/>
        <v>0</v>
      </c>
      <c r="R46" s="710">
        <f t="shared" si="16"/>
        <v>0</v>
      </c>
      <c r="U46" s="704" t="s">
        <v>107</v>
      </c>
      <c r="V46" s="705"/>
      <c r="W46" s="705"/>
      <c r="X46" s="22">
        <f>AE30</f>
        <v>108828.97652180787</v>
      </c>
      <c r="Y46" s="22">
        <f>AF30</f>
        <v>491883.0125345657</v>
      </c>
      <c r="Z46" s="22">
        <f>AG30</f>
        <v>81454.451356119636</v>
      </c>
      <c r="AA46" s="28">
        <f>AH30</f>
        <v>299242.68327298568</v>
      </c>
      <c r="AB46" s="22">
        <f>AY30+O95</f>
        <v>15142663.018827669</v>
      </c>
      <c r="AC46" s="29">
        <f>BG30</f>
        <v>117484.84223208067</v>
      </c>
      <c r="AD46" s="29">
        <f>SUM(O72:O77)</f>
        <v>703678.68221782788</v>
      </c>
    </row>
    <row r="47" spans="1:30" ht="15.75" thickBot="1">
      <c r="A47" s="462" t="b">
        <f>+A74</f>
        <v>1</v>
      </c>
      <c r="B47" s="20">
        <v>1</v>
      </c>
      <c r="C47" s="20">
        <v>1</v>
      </c>
      <c r="D47" s="20">
        <v>0.625</v>
      </c>
      <c r="E47" s="20">
        <v>0.33333333333333298</v>
      </c>
      <c r="F47" s="20">
        <v>0.53125</v>
      </c>
      <c r="G47" s="20">
        <v>0.33333333333333298</v>
      </c>
      <c r="H47" s="449">
        <v>1</v>
      </c>
      <c r="I47" s="446" t="s">
        <v>477</v>
      </c>
      <c r="J47" s="24" t="s">
        <v>478</v>
      </c>
      <c r="K47" s="22">
        <f>('2.6 SISTEMA DE CONTROL'!N8+'2.6 SISTEMA DE CONTROL'!Q8)*(+$A47)</f>
        <v>4736107.4580075955</v>
      </c>
      <c r="L47" s="22">
        <f t="shared" si="10"/>
        <v>4736107.4580075955</v>
      </c>
      <c r="M47" s="22">
        <f t="shared" si="11"/>
        <v>4736107.4580075955</v>
      </c>
      <c r="N47" s="22">
        <f t="shared" si="12"/>
        <v>2960067.1612547473</v>
      </c>
      <c r="O47" s="22">
        <f t="shared" si="13"/>
        <v>1578702.4860025302</v>
      </c>
      <c r="P47" s="22">
        <f t="shared" si="14"/>
        <v>2516057.0870665349</v>
      </c>
      <c r="Q47" s="22">
        <f t="shared" si="15"/>
        <v>1578702.4860025302</v>
      </c>
      <c r="R47" s="28">
        <f t="shared" si="16"/>
        <v>4736107.4580075955</v>
      </c>
      <c r="U47" s="704" t="s">
        <v>108</v>
      </c>
      <c r="V47" s="705"/>
      <c r="W47" s="705"/>
      <c r="X47" s="22">
        <f>AI30</f>
        <v>144098.42681097426</v>
      </c>
      <c r="Y47" s="22">
        <f>AJ30</f>
        <v>611198.66089755995</v>
      </c>
      <c r="Z47" s="22">
        <f>AK30</f>
        <v>164085.25630795478</v>
      </c>
      <c r="AA47" s="28">
        <f>AL30</f>
        <v>404022.06185061747</v>
      </c>
      <c r="AB47" s="22">
        <f>AZ30+P95</f>
        <v>18835296.723981131</v>
      </c>
      <c r="AC47" s="29">
        <f>BH30</f>
        <v>157297.88278217328</v>
      </c>
      <c r="AD47" s="391">
        <f>SUM(P72:P77)</f>
        <v>1067776.8537512424</v>
      </c>
    </row>
    <row r="48" spans="1:30" ht="15.75" thickBot="1">
      <c r="A48" s="462" t="b">
        <f>+A46</f>
        <v>1</v>
      </c>
      <c r="B48" s="20">
        <v>1</v>
      </c>
      <c r="C48" s="20">
        <v>1</v>
      </c>
      <c r="D48" s="20">
        <v>0.625</v>
      </c>
      <c r="E48" s="20">
        <v>0.33333333333333298</v>
      </c>
      <c r="F48" s="20">
        <v>0.53125</v>
      </c>
      <c r="G48" s="20">
        <v>0.33333333333333298</v>
      </c>
      <c r="H48" s="449">
        <v>0.66666666666666696</v>
      </c>
      <c r="I48" s="446" t="s">
        <v>479</v>
      </c>
      <c r="J48" s="24" t="s">
        <v>480</v>
      </c>
      <c r="K48" s="22">
        <f>('2.6 SISTEMA DE CONTROL'!N9+'2.6 SISTEMA DE CONTROL'!Q9)*(+$A48)</f>
        <v>246073.05865655278</v>
      </c>
      <c r="L48" s="22">
        <f t="shared" si="10"/>
        <v>246073.05865655278</v>
      </c>
      <c r="M48" s="22">
        <f t="shared" si="11"/>
        <v>246073.05865655278</v>
      </c>
      <c r="N48" s="22">
        <f t="shared" si="12"/>
        <v>153795.66166034547</v>
      </c>
      <c r="O48" s="22">
        <f t="shared" si="13"/>
        <v>82024.35288551751</v>
      </c>
      <c r="P48" s="22">
        <f t="shared" si="14"/>
        <v>130726.31241129366</v>
      </c>
      <c r="Q48" s="22">
        <f t="shared" si="15"/>
        <v>82024.35288551751</v>
      </c>
      <c r="R48" s="28">
        <f t="shared" si="16"/>
        <v>164048.70577103525</v>
      </c>
      <c r="U48" s="704" t="s">
        <v>103</v>
      </c>
      <c r="V48" s="705"/>
      <c r="W48" s="705"/>
      <c r="X48" s="22">
        <f>AM30</f>
        <v>29589.715480742008</v>
      </c>
      <c r="Y48" s="22">
        <f>AN30</f>
        <v>157001.17543518892</v>
      </c>
      <c r="Z48" s="22">
        <f>AO30</f>
        <v>0</v>
      </c>
      <c r="AA48" s="28">
        <f>AP30</f>
        <v>6315016.3678019363</v>
      </c>
      <c r="AB48" s="22">
        <f>BA30+Q95</f>
        <v>4761384.3719936963</v>
      </c>
      <c r="AC48" s="29">
        <f>BI30</f>
        <v>25534.690152775369</v>
      </c>
      <c r="AD48" s="391">
        <f>SUM(Q72:Q77)</f>
        <v>0</v>
      </c>
    </row>
    <row r="49" spans="1:30" ht="15.75" thickBot="1">
      <c r="A49" s="462" t="b">
        <f t="shared" ref="A49" si="18">+A48</f>
        <v>1</v>
      </c>
      <c r="B49" s="20">
        <v>1</v>
      </c>
      <c r="C49" s="20">
        <v>1</v>
      </c>
      <c r="D49" s="20">
        <v>1</v>
      </c>
      <c r="E49" s="20">
        <v>1</v>
      </c>
      <c r="F49" s="20">
        <v>1</v>
      </c>
      <c r="G49" s="20">
        <v>0.33333333333333298</v>
      </c>
      <c r="H49" s="449">
        <v>0.66666666666666696</v>
      </c>
      <c r="I49" s="446" t="s">
        <v>481</v>
      </c>
      <c r="J49" s="24" t="s">
        <v>482</v>
      </c>
      <c r="K49" s="22">
        <f>('2.6 SISTEMA DE CONTROL'!N10+'2.6 SISTEMA DE CONTROL'!Q10)*(+$A49)</f>
        <v>1704202.7131271483</v>
      </c>
      <c r="L49" s="22">
        <f t="shared" si="10"/>
        <v>1704202.7131271483</v>
      </c>
      <c r="M49" s="22">
        <f t="shared" si="11"/>
        <v>1704202.7131271483</v>
      </c>
      <c r="N49" s="22">
        <f t="shared" si="12"/>
        <v>1704202.7131271483</v>
      </c>
      <c r="O49" s="22">
        <f t="shared" si="13"/>
        <v>1704202.7131271483</v>
      </c>
      <c r="P49" s="22">
        <f t="shared" si="14"/>
        <v>1704202.7131271483</v>
      </c>
      <c r="Q49" s="22">
        <f t="shared" si="15"/>
        <v>568067.57104238216</v>
      </c>
      <c r="R49" s="28">
        <f t="shared" si="16"/>
        <v>1136135.1420847662</v>
      </c>
      <c r="U49" s="706" t="s">
        <v>109</v>
      </c>
      <c r="V49" s="706"/>
      <c r="W49" s="706"/>
      <c r="X49" s="22">
        <f>AQ30</f>
        <v>36987.144350927512</v>
      </c>
      <c r="Y49" s="22">
        <f>AR30</f>
        <v>196251.46929398616</v>
      </c>
      <c r="Z49" s="22">
        <f>AS30</f>
        <v>0</v>
      </c>
      <c r="AA49" s="28">
        <f>AT30</f>
        <v>7893770.45975242</v>
      </c>
      <c r="AB49" s="22">
        <f>BB30+R95</f>
        <v>12449481.521583429</v>
      </c>
      <c r="AC49" s="29">
        <f>BJ30</f>
        <v>31918.36269096921</v>
      </c>
      <c r="AD49" s="391">
        <f>SUM(R72:R77)</f>
        <v>0</v>
      </c>
    </row>
    <row r="50" spans="1:30" ht="26.25" thickBot="1">
      <c r="A50" s="462" t="b">
        <f>+A49</f>
        <v>1</v>
      </c>
      <c r="B50" s="20">
        <v>1</v>
      </c>
      <c r="C50" s="20">
        <v>1</v>
      </c>
      <c r="D50" s="20">
        <v>0.625</v>
      </c>
      <c r="E50" s="20">
        <v>0.33333333333333298</v>
      </c>
      <c r="F50" s="20">
        <v>0.53125</v>
      </c>
      <c r="G50" s="20">
        <v>0.33333333333333298</v>
      </c>
      <c r="H50" s="449">
        <v>0.66666666666666696</v>
      </c>
      <c r="I50" s="446" t="s">
        <v>483</v>
      </c>
      <c r="J50" s="24" t="s">
        <v>484</v>
      </c>
      <c r="K50" s="22">
        <f>('2.6 SISTEMA DE CONTROL'!N11+'2.6 SISTEMA DE CONTROL'!Q11)*(+$A50)</f>
        <v>375489.35337521363</v>
      </c>
      <c r="L50" s="22">
        <f t="shared" si="10"/>
        <v>375489.35337521363</v>
      </c>
      <c r="M50" s="22">
        <f t="shared" si="11"/>
        <v>375489.35337521363</v>
      </c>
      <c r="N50" s="22">
        <f t="shared" si="12"/>
        <v>234680.84585950852</v>
      </c>
      <c r="O50" s="22">
        <f t="shared" si="13"/>
        <v>125163.11779173775</v>
      </c>
      <c r="P50" s="22">
        <f t="shared" si="14"/>
        <v>199478.71898058223</v>
      </c>
      <c r="Q50" s="22">
        <f t="shared" si="15"/>
        <v>125163.11779173775</v>
      </c>
      <c r="R50" s="28">
        <f t="shared" si="16"/>
        <v>250326.23558347585</v>
      </c>
    </row>
    <row r="51" spans="1:30" ht="15.75" thickBot="1">
      <c r="A51" s="463" t="b">
        <f>Inicio!$J$22</f>
        <v>1</v>
      </c>
      <c r="B51" s="711"/>
      <c r="C51" s="711"/>
      <c r="D51" s="711"/>
      <c r="E51" s="711"/>
      <c r="F51" s="711"/>
      <c r="G51" s="711"/>
      <c r="H51" s="711"/>
      <c r="I51" s="444">
        <v>2.7</v>
      </c>
      <c r="J51" s="19" t="s">
        <v>485</v>
      </c>
      <c r="K51" s="710"/>
      <c r="L51" s="710">
        <f t="shared" si="10"/>
        <v>0</v>
      </c>
      <c r="M51" s="710">
        <f t="shared" si="11"/>
        <v>0</v>
      </c>
      <c r="N51" s="710">
        <f t="shared" si="12"/>
        <v>0</v>
      </c>
      <c r="O51" s="710">
        <f t="shared" si="13"/>
        <v>0</v>
      </c>
      <c r="P51" s="710">
        <f t="shared" si="14"/>
        <v>0</v>
      </c>
      <c r="Q51" s="710">
        <f t="shared" si="15"/>
        <v>0</v>
      </c>
      <c r="R51" s="710">
        <f t="shared" si="16"/>
        <v>0</v>
      </c>
      <c r="V51" s="703"/>
      <c r="W51" s="703"/>
    </row>
    <row r="52" spans="1:30" ht="15.75" thickBot="1">
      <c r="A52" s="462" t="b">
        <f>+A51</f>
        <v>1</v>
      </c>
      <c r="B52" s="20">
        <v>1</v>
      </c>
      <c r="C52" s="20">
        <v>0.66666666666666696</v>
      </c>
      <c r="D52" s="20">
        <v>0.5</v>
      </c>
      <c r="E52" s="20">
        <v>0.22222222222222199</v>
      </c>
      <c r="F52" s="20">
        <v>0.625</v>
      </c>
      <c r="G52" s="20">
        <v>0</v>
      </c>
      <c r="H52" s="449">
        <v>0</v>
      </c>
      <c r="I52" s="446" t="s">
        <v>486</v>
      </c>
      <c r="J52" s="24" t="s">
        <v>487</v>
      </c>
      <c r="K52" s="22">
        <f>('2.7 SIST. SEG. &amp; VIGILANCIA'!J10)*(+$A52)</f>
        <v>75299.822528453835</v>
      </c>
      <c r="L52" s="22">
        <f t="shared" si="10"/>
        <v>75299.822528453835</v>
      </c>
      <c r="M52" s="22">
        <f t="shared" si="11"/>
        <v>50199.881685635912</v>
      </c>
      <c r="N52" s="22">
        <f t="shared" si="12"/>
        <v>37649.911264226917</v>
      </c>
      <c r="O52" s="22">
        <f t="shared" si="13"/>
        <v>16733.293895211944</v>
      </c>
      <c r="P52" s="22">
        <f t="shared" si="14"/>
        <v>47062.389080283647</v>
      </c>
      <c r="Q52" s="22">
        <f t="shared" si="15"/>
        <v>0</v>
      </c>
      <c r="R52" s="28">
        <f t="shared" si="16"/>
        <v>0</v>
      </c>
      <c r="V52" s="703"/>
      <c r="W52" s="703"/>
      <c r="X52" s="357"/>
      <c r="Y52" s="357"/>
      <c r="Z52" s="357"/>
      <c r="AA52" s="357"/>
      <c r="AB52" s="357"/>
      <c r="AC52" s="361"/>
    </row>
    <row r="53" spans="1:30" ht="15.75" thickBot="1">
      <c r="A53" s="462" t="b">
        <f t="shared" ref="A53:A55" si="19">+A52</f>
        <v>1</v>
      </c>
      <c r="B53" s="20">
        <v>1</v>
      </c>
      <c r="C53" s="20">
        <v>0.66666666666666696</v>
      </c>
      <c r="D53" s="20">
        <v>0.5</v>
      </c>
      <c r="E53" s="20">
        <v>0.22222222222222199</v>
      </c>
      <c r="F53" s="20">
        <v>0.625</v>
      </c>
      <c r="G53" s="20">
        <v>0</v>
      </c>
      <c r="H53" s="449">
        <v>0</v>
      </c>
      <c r="I53" s="446" t="s">
        <v>488</v>
      </c>
      <c r="J53" s="24" t="s">
        <v>489</v>
      </c>
      <c r="K53" s="22">
        <f>('2.7 SIST. SEG. &amp; VIGILANCIA'!J14)*(+$A53)</f>
        <v>14479.080160471261</v>
      </c>
      <c r="L53" s="22">
        <f t="shared" si="10"/>
        <v>14479.080160471261</v>
      </c>
      <c r="M53" s="22">
        <f t="shared" si="11"/>
        <v>9652.7201069808452</v>
      </c>
      <c r="N53" s="22">
        <f t="shared" si="12"/>
        <v>7239.5400802356307</v>
      </c>
      <c r="O53" s="22">
        <f t="shared" si="13"/>
        <v>3217.5733689936101</v>
      </c>
      <c r="P53" s="22">
        <f t="shared" si="14"/>
        <v>9049.4251002945384</v>
      </c>
      <c r="Q53" s="22">
        <f t="shared" si="15"/>
        <v>0</v>
      </c>
      <c r="R53" s="28">
        <f t="shared" si="16"/>
        <v>0</v>
      </c>
      <c r="V53" s="703"/>
      <c r="W53" s="703"/>
      <c r="X53" s="357"/>
      <c r="Y53" s="357"/>
      <c r="Z53" s="357"/>
      <c r="AA53" s="357"/>
      <c r="AB53" s="357"/>
      <c r="AC53" s="361"/>
    </row>
    <row r="54" spans="1:30" ht="15.75" thickBot="1">
      <c r="A54" s="462" t="b">
        <f t="shared" si="19"/>
        <v>1</v>
      </c>
      <c r="B54" s="20">
        <v>1</v>
      </c>
      <c r="C54" s="20">
        <v>0.83333333333333304</v>
      </c>
      <c r="D54" s="20">
        <v>0.625</v>
      </c>
      <c r="E54" s="20">
        <v>0.33333333333333298</v>
      </c>
      <c r="F54" s="20">
        <v>0.9375</v>
      </c>
      <c r="G54" s="20">
        <v>0</v>
      </c>
      <c r="H54" s="449">
        <v>0</v>
      </c>
      <c r="I54" s="446" t="s">
        <v>490</v>
      </c>
      <c r="J54" s="24" t="s">
        <v>491</v>
      </c>
      <c r="K54" s="22">
        <f>('2.7 SIST. SEG. &amp; VIGILANCIA'!J16)*(+$A54)</f>
        <v>26145.771711268684</v>
      </c>
      <c r="L54" s="22">
        <f t="shared" si="10"/>
        <v>26145.771711268684</v>
      </c>
      <c r="M54" s="22">
        <f t="shared" si="11"/>
        <v>21788.143092723894</v>
      </c>
      <c r="N54" s="22">
        <f t="shared" si="12"/>
        <v>16341.107319542927</v>
      </c>
      <c r="O54" s="22">
        <f t="shared" si="13"/>
        <v>8715.2572370895523</v>
      </c>
      <c r="P54" s="22">
        <f t="shared" si="14"/>
        <v>24511.660979314391</v>
      </c>
      <c r="Q54" s="22">
        <f t="shared" si="15"/>
        <v>0</v>
      </c>
      <c r="R54" s="28">
        <f t="shared" si="16"/>
        <v>0</v>
      </c>
      <c r="V54" s="703"/>
      <c r="W54" s="703"/>
      <c r="X54" s="357"/>
      <c r="Y54" s="357"/>
      <c r="Z54" s="357"/>
      <c r="AA54" s="357"/>
      <c r="AB54" s="357"/>
      <c r="AC54" s="361"/>
    </row>
    <row r="55" spans="1:30" ht="15.75" thickBot="1">
      <c r="A55" s="462" t="b">
        <f t="shared" si="19"/>
        <v>1</v>
      </c>
      <c r="B55" s="20">
        <v>1</v>
      </c>
      <c r="C55" s="20">
        <v>0.83333333333333304</v>
      </c>
      <c r="D55" s="20">
        <v>0.625</v>
      </c>
      <c r="E55" s="20">
        <v>0.33333333333333298</v>
      </c>
      <c r="F55" s="20">
        <v>0.9375</v>
      </c>
      <c r="G55" s="20">
        <v>0</v>
      </c>
      <c r="H55" s="449">
        <v>0</v>
      </c>
      <c r="I55" s="446" t="s">
        <v>492</v>
      </c>
      <c r="J55" s="24" t="s">
        <v>493</v>
      </c>
      <c r="K55" s="22">
        <f>('2.7 SIST. SEG. &amp; VIGILANCIA'!J18)*(+$A55)</f>
        <v>31125.918703891301</v>
      </c>
      <c r="L55" s="22">
        <f t="shared" si="10"/>
        <v>31125.918703891301</v>
      </c>
      <c r="M55" s="22">
        <f t="shared" si="11"/>
        <v>25938.265586576075</v>
      </c>
      <c r="N55" s="22">
        <f t="shared" si="12"/>
        <v>19453.699189932064</v>
      </c>
      <c r="O55" s="22">
        <f t="shared" si="13"/>
        <v>10375.306234630423</v>
      </c>
      <c r="P55" s="22">
        <f t="shared" si="14"/>
        <v>29180.548784898096</v>
      </c>
      <c r="Q55" s="22">
        <f t="shared" si="15"/>
        <v>0</v>
      </c>
      <c r="R55" s="28">
        <f t="shared" si="16"/>
        <v>0</v>
      </c>
      <c r="V55" s="703"/>
      <c r="W55" s="703"/>
      <c r="X55" s="357"/>
      <c r="Y55" s="357"/>
      <c r="Z55" s="357"/>
      <c r="AA55" s="357"/>
      <c r="AB55" s="357"/>
      <c r="AC55" s="361"/>
    </row>
    <row r="56" spans="1:30" ht="15.75" thickBot="1">
      <c r="A56" s="463" t="b">
        <f>Inicio!$J$23</f>
        <v>1</v>
      </c>
      <c r="B56" s="20">
        <v>1</v>
      </c>
      <c r="C56" s="20">
        <v>1</v>
      </c>
      <c r="D56" s="20">
        <v>1</v>
      </c>
      <c r="E56" s="20">
        <v>1</v>
      </c>
      <c r="F56" s="20">
        <v>1</v>
      </c>
      <c r="G56" s="20">
        <v>0</v>
      </c>
      <c r="H56" s="449">
        <v>0</v>
      </c>
      <c r="I56" s="446" t="s">
        <v>494</v>
      </c>
      <c r="J56" s="24" t="s">
        <v>495</v>
      </c>
      <c r="K56" s="22">
        <f>('2.7 SIST. SEG. &amp; VIGILANCIA'!J20)*(+$A56)</f>
        <v>113069.25732050369</v>
      </c>
      <c r="L56" s="22">
        <f t="shared" si="10"/>
        <v>113069.25732050369</v>
      </c>
      <c r="M56" s="22">
        <f t="shared" si="11"/>
        <v>113069.25732050369</v>
      </c>
      <c r="N56" s="22">
        <f t="shared" si="12"/>
        <v>113069.25732050369</v>
      </c>
      <c r="O56" s="22">
        <f t="shared" si="13"/>
        <v>113069.25732050369</v>
      </c>
      <c r="P56" s="22">
        <f t="shared" si="14"/>
        <v>113069.25732050369</v>
      </c>
      <c r="Q56" s="22">
        <f t="shared" si="15"/>
        <v>0</v>
      </c>
      <c r="R56" s="28">
        <f t="shared" si="16"/>
        <v>0</v>
      </c>
      <c r="V56" s="703"/>
      <c r="W56" s="703"/>
      <c r="X56" s="357"/>
      <c r="Y56" s="357"/>
      <c r="Z56" s="357"/>
      <c r="AA56" s="357"/>
      <c r="AB56" s="357"/>
      <c r="AC56" s="361"/>
    </row>
    <row r="57" spans="1:30" ht="15.75" thickBot="1">
      <c r="A57" s="463" t="b">
        <f>Inicio!$G$16</f>
        <v>1</v>
      </c>
      <c r="B57" s="711"/>
      <c r="C57" s="711"/>
      <c r="D57" s="711"/>
      <c r="E57" s="711"/>
      <c r="F57" s="711"/>
      <c r="G57" s="711"/>
      <c r="H57" s="711"/>
      <c r="I57" s="444">
        <v>2.8</v>
      </c>
      <c r="J57" s="19" t="s">
        <v>36</v>
      </c>
      <c r="K57" s="710"/>
      <c r="L57" s="710">
        <f t="shared" si="10"/>
        <v>0</v>
      </c>
      <c r="M57" s="710">
        <f t="shared" si="11"/>
        <v>0</v>
      </c>
      <c r="N57" s="710">
        <f t="shared" si="12"/>
        <v>0</v>
      </c>
      <c r="O57" s="710">
        <f t="shared" si="13"/>
        <v>0</v>
      </c>
      <c r="P57" s="710">
        <f t="shared" si="14"/>
        <v>0</v>
      </c>
      <c r="Q57" s="710">
        <f t="shared" si="15"/>
        <v>0</v>
      </c>
      <c r="R57" s="710">
        <f t="shared" si="16"/>
        <v>0</v>
      </c>
      <c r="V57" s="703"/>
      <c r="W57" s="703"/>
      <c r="X57" s="357"/>
      <c r="Y57" s="357"/>
      <c r="Z57" s="357"/>
      <c r="AA57" s="357"/>
      <c r="AB57" s="357"/>
      <c r="AC57" s="361"/>
    </row>
    <row r="58" spans="1:30" ht="15.75" thickBot="1">
      <c r="A58" s="462" t="b">
        <f>+A57</f>
        <v>1</v>
      </c>
      <c r="B58" s="20">
        <v>1</v>
      </c>
      <c r="C58" s="20">
        <v>0.66666666666666696</v>
      </c>
      <c r="D58" s="20">
        <v>0.5</v>
      </c>
      <c r="E58" s="20">
        <v>0.33333333333333298</v>
      </c>
      <c r="F58" s="20">
        <v>0.625</v>
      </c>
      <c r="G58" s="20">
        <v>0</v>
      </c>
      <c r="H58" s="449">
        <v>0</v>
      </c>
      <c r="I58" s="446" t="s">
        <v>496</v>
      </c>
      <c r="J58" s="24" t="s">
        <v>497</v>
      </c>
      <c r="K58" s="22">
        <f>('2.8 SIST. MANEJO AGUAS'!J10)*(+$A58)</f>
        <v>108691.7081139884</v>
      </c>
      <c r="L58" s="22">
        <f t="shared" si="10"/>
        <v>108691.7081139884</v>
      </c>
      <c r="M58" s="22">
        <f t="shared" si="11"/>
        <v>72461.138742658964</v>
      </c>
      <c r="N58" s="22">
        <f t="shared" si="12"/>
        <v>54345.854056994198</v>
      </c>
      <c r="O58" s="22">
        <f t="shared" si="13"/>
        <v>36230.569371329424</v>
      </c>
      <c r="P58" s="22">
        <f t="shared" si="14"/>
        <v>67932.317571242747</v>
      </c>
      <c r="Q58" s="22">
        <f t="shared" si="15"/>
        <v>0</v>
      </c>
      <c r="R58" s="28">
        <f t="shared" si="16"/>
        <v>0</v>
      </c>
      <c r="V58" s="703"/>
      <c r="W58" s="703"/>
      <c r="X58" s="357"/>
      <c r="Y58" s="357"/>
      <c r="Z58" s="357"/>
      <c r="AA58" s="357"/>
      <c r="AB58" s="357"/>
      <c r="AC58" s="361"/>
    </row>
    <row r="59" spans="1:30" ht="15.75" thickBot="1">
      <c r="A59" s="462" t="b">
        <f>+A57</f>
        <v>1</v>
      </c>
      <c r="B59" s="20">
        <v>1</v>
      </c>
      <c r="C59" s="20">
        <v>0.66666666666666696</v>
      </c>
      <c r="D59" s="20">
        <v>0.625</v>
      </c>
      <c r="E59" s="20">
        <v>0.33333333333333298</v>
      </c>
      <c r="F59" s="20">
        <v>0.625</v>
      </c>
      <c r="G59" s="20">
        <v>0</v>
      </c>
      <c r="H59" s="449">
        <v>0</v>
      </c>
      <c r="I59" s="446" t="s">
        <v>498</v>
      </c>
      <c r="J59" s="24" t="s">
        <v>499</v>
      </c>
      <c r="K59" s="22">
        <f>('2.8 SIST. MANEJO AGUAS'!J14)*(+$A59)</f>
        <v>149362.90855373969</v>
      </c>
      <c r="L59" s="22">
        <f t="shared" si="10"/>
        <v>149362.90855373969</v>
      </c>
      <c r="M59" s="22">
        <f t="shared" si="11"/>
        <v>99575.272369159837</v>
      </c>
      <c r="N59" s="22">
        <f t="shared" si="12"/>
        <v>93351.817846087302</v>
      </c>
      <c r="O59" s="22">
        <f t="shared" si="13"/>
        <v>49787.636184579846</v>
      </c>
      <c r="P59" s="22">
        <f t="shared" si="14"/>
        <v>93351.817846087302</v>
      </c>
      <c r="Q59" s="22">
        <f t="shared" si="15"/>
        <v>0</v>
      </c>
      <c r="R59" s="28">
        <f t="shared" si="16"/>
        <v>0</v>
      </c>
      <c r="U59" s="70"/>
      <c r="V59" s="703"/>
      <c r="W59" s="703"/>
      <c r="X59" s="357"/>
      <c r="Y59" s="357"/>
      <c r="Z59" s="357"/>
      <c r="AA59" s="357"/>
      <c r="AB59" s="357"/>
      <c r="AC59" s="361"/>
    </row>
    <row r="60" spans="1:30" ht="15.75" thickBot="1">
      <c r="A60" s="464" t="b">
        <f>Inicio!$J$21</f>
        <v>1</v>
      </c>
      <c r="B60" s="711"/>
      <c r="C60" s="711"/>
      <c r="D60" s="711"/>
      <c r="E60" s="711"/>
      <c r="F60" s="711"/>
      <c r="G60" s="711"/>
      <c r="H60" s="711"/>
      <c r="I60" s="447">
        <v>2.9</v>
      </c>
      <c r="J60" s="19" t="s">
        <v>500</v>
      </c>
      <c r="K60" s="710"/>
      <c r="L60" s="710">
        <f t="shared" ref="L60" si="20">B60*$K60</f>
        <v>0</v>
      </c>
      <c r="M60" s="710">
        <f t="shared" ref="M60" si="21">C60*$K60</f>
        <v>0</v>
      </c>
      <c r="N60" s="710">
        <f t="shared" ref="N60" si="22">D60*$K60</f>
        <v>0</v>
      </c>
      <c r="O60" s="710">
        <f t="shared" ref="O60" si="23">E60*$K60</f>
        <v>0</v>
      </c>
      <c r="P60" s="710">
        <f t="shared" ref="P60" si="24">F60*$K60</f>
        <v>0</v>
      </c>
      <c r="Q60" s="710">
        <f t="shared" ref="Q60" si="25">G60*$K60</f>
        <v>0</v>
      </c>
      <c r="R60" s="710">
        <f t="shared" ref="R60" si="26">H60*$K60</f>
        <v>0</v>
      </c>
      <c r="V60" s="703"/>
      <c r="W60" s="703"/>
      <c r="X60" s="357"/>
      <c r="Y60" s="357"/>
      <c r="Z60" s="357"/>
      <c r="AA60" s="357"/>
      <c r="AB60" s="357"/>
      <c r="AC60" s="361"/>
    </row>
    <row r="61" spans="1:30" ht="15.75" thickBot="1">
      <c r="A61" s="462" t="b">
        <f>+A60</f>
        <v>1</v>
      </c>
      <c r="B61" s="20">
        <v>1</v>
      </c>
      <c r="C61" s="20">
        <v>1</v>
      </c>
      <c r="D61" s="20">
        <v>1</v>
      </c>
      <c r="E61" s="20">
        <v>1</v>
      </c>
      <c r="F61" s="20">
        <v>1</v>
      </c>
      <c r="G61" s="20">
        <v>0</v>
      </c>
      <c r="H61" s="449">
        <v>0</v>
      </c>
      <c r="I61" s="446" t="s">
        <v>501</v>
      </c>
      <c r="J61" s="30" t="s">
        <v>502</v>
      </c>
      <c r="K61" s="22">
        <f>('2.9 SERVICIOS INDUSTRIALES'!J13+'2.9 SERVICIOS INDUSTRIALES'!M13)*(+$A61)</f>
        <v>215214.02670908155</v>
      </c>
      <c r="L61" s="22">
        <f t="shared" si="10"/>
        <v>215214.02670908155</v>
      </c>
      <c r="M61" s="22">
        <f t="shared" si="11"/>
        <v>215214.02670908155</v>
      </c>
      <c r="N61" s="22">
        <f t="shared" si="12"/>
        <v>215214.02670908155</v>
      </c>
      <c r="O61" s="22">
        <f t="shared" si="13"/>
        <v>215214.02670908155</v>
      </c>
      <c r="P61" s="22">
        <f t="shared" si="14"/>
        <v>215214.02670908155</v>
      </c>
      <c r="Q61" s="22">
        <f t="shared" si="15"/>
        <v>0</v>
      </c>
      <c r="R61" s="28">
        <f t="shared" si="16"/>
        <v>0</v>
      </c>
      <c r="V61" s="703"/>
      <c r="W61" s="703"/>
      <c r="X61" s="357"/>
      <c r="Y61" s="357"/>
      <c r="Z61" s="357"/>
      <c r="AA61" s="357"/>
      <c r="AB61" s="357"/>
      <c r="AC61" s="361"/>
    </row>
    <row r="62" spans="1:30" ht="15.75" thickBot="1">
      <c r="A62" s="462" t="b">
        <f>+A61</f>
        <v>1</v>
      </c>
      <c r="B62" s="20">
        <v>1</v>
      </c>
      <c r="C62" s="20">
        <v>1</v>
      </c>
      <c r="D62" s="20">
        <v>1</v>
      </c>
      <c r="E62" s="20">
        <v>1</v>
      </c>
      <c r="F62" s="20">
        <v>1</v>
      </c>
      <c r="G62" s="20">
        <v>0</v>
      </c>
      <c r="H62" s="449">
        <v>0</v>
      </c>
      <c r="I62" s="446" t="s">
        <v>503</v>
      </c>
      <c r="J62" s="30" t="s">
        <v>504</v>
      </c>
      <c r="K62" s="22">
        <f>('2.9 SERVICIOS INDUSTRIALES'!J23+'2.9 SERVICIOS INDUSTRIALES'!M23)*(+$A62)</f>
        <v>210621.64301102408</v>
      </c>
      <c r="L62" s="22">
        <f t="shared" si="10"/>
        <v>210621.64301102408</v>
      </c>
      <c r="M62" s="22">
        <f t="shared" si="11"/>
        <v>210621.64301102408</v>
      </c>
      <c r="N62" s="22">
        <f t="shared" si="12"/>
        <v>210621.64301102408</v>
      </c>
      <c r="O62" s="22">
        <f t="shared" si="13"/>
        <v>210621.64301102408</v>
      </c>
      <c r="P62" s="22">
        <f t="shared" si="14"/>
        <v>210621.64301102408</v>
      </c>
      <c r="Q62" s="22">
        <f t="shared" si="15"/>
        <v>0</v>
      </c>
      <c r="R62" s="28">
        <f t="shared" si="16"/>
        <v>0</v>
      </c>
      <c r="V62" s="703"/>
      <c r="W62" s="703"/>
      <c r="X62" s="357"/>
      <c r="Y62" s="357"/>
      <c r="Z62" s="357"/>
      <c r="AA62" s="357"/>
      <c r="AB62" s="357"/>
      <c r="AC62" s="361"/>
    </row>
    <row r="63" spans="1:30" ht="15.75" thickBot="1">
      <c r="A63" s="462" t="b">
        <f>+A62</f>
        <v>1</v>
      </c>
      <c r="B63" s="20">
        <v>1</v>
      </c>
      <c r="C63" s="20">
        <v>1</v>
      </c>
      <c r="D63" s="20">
        <v>1</v>
      </c>
      <c r="E63" s="20">
        <v>1</v>
      </c>
      <c r="F63" s="20">
        <v>1</v>
      </c>
      <c r="G63" s="20">
        <v>0</v>
      </c>
      <c r="H63" s="449">
        <v>0</v>
      </c>
      <c r="I63" s="446" t="s">
        <v>505</v>
      </c>
      <c r="J63" s="30" t="s">
        <v>506</v>
      </c>
      <c r="K63" s="22">
        <f>('2.9 SERVICIOS INDUSTRIALES'!J32+'2.9 SERVICIOS INDUSTRIALES'!M32)*(+$A63)</f>
        <v>19144.932547528158</v>
      </c>
      <c r="L63" s="22">
        <f t="shared" si="10"/>
        <v>19144.932547528158</v>
      </c>
      <c r="M63" s="22">
        <f t="shared" si="11"/>
        <v>19144.932547528158</v>
      </c>
      <c r="N63" s="22">
        <f t="shared" si="12"/>
        <v>19144.932547528158</v>
      </c>
      <c r="O63" s="22">
        <f t="shared" si="13"/>
        <v>19144.932547528158</v>
      </c>
      <c r="P63" s="22">
        <f t="shared" si="14"/>
        <v>19144.932547528158</v>
      </c>
      <c r="Q63" s="22">
        <f t="shared" si="15"/>
        <v>0</v>
      </c>
      <c r="R63" s="28">
        <f t="shared" si="16"/>
        <v>0</v>
      </c>
      <c r="V63" s="703"/>
      <c r="W63" s="703"/>
      <c r="Y63" s="357"/>
      <c r="AA63" s="357"/>
      <c r="AB63" s="357"/>
      <c r="AC63" s="361"/>
    </row>
    <row r="64" spans="1:30" ht="19.5" thickBot="1">
      <c r="A64" s="462"/>
      <c r="B64" s="712"/>
      <c r="C64" s="712"/>
      <c r="D64" s="712"/>
      <c r="E64" s="712"/>
      <c r="F64" s="712"/>
      <c r="G64" s="712"/>
      <c r="H64" s="713"/>
      <c r="I64" s="445">
        <v>3</v>
      </c>
      <c r="J64" s="12" t="s">
        <v>507</v>
      </c>
      <c r="K64" s="716"/>
      <c r="L64" s="716"/>
      <c r="M64" s="716"/>
      <c r="N64" s="716"/>
      <c r="O64" s="716"/>
      <c r="P64" s="716"/>
      <c r="Q64" s="716"/>
      <c r="R64" s="716"/>
      <c r="V64" s="703"/>
      <c r="W64" s="703"/>
      <c r="Z64" s="375"/>
      <c r="AA64" s="357"/>
      <c r="AB64" s="357"/>
      <c r="AC64" s="361"/>
    </row>
    <row r="65" spans="1:29" ht="15.75" thickBot="1">
      <c r="A65" s="462"/>
      <c r="B65" s="711"/>
      <c r="C65" s="711"/>
      <c r="D65" s="711"/>
      <c r="E65" s="711"/>
      <c r="F65" s="711"/>
      <c r="G65" s="711"/>
      <c r="H65" s="711"/>
      <c r="I65" s="447">
        <v>3.1</v>
      </c>
      <c r="J65" s="19" t="s">
        <v>40</v>
      </c>
      <c r="K65" s="710"/>
      <c r="L65" s="710">
        <f t="shared" ref="L65:L88" si="27">B65*$K65</f>
        <v>0</v>
      </c>
      <c r="M65" s="710">
        <f t="shared" ref="M65:M88" si="28">C65*$K65</f>
        <v>0</v>
      </c>
      <c r="N65" s="710">
        <f t="shared" ref="N65:N88" si="29">D65*$K65</f>
        <v>0</v>
      </c>
      <c r="O65" s="710">
        <f t="shared" ref="O65:O88" si="30">E65*$K65</f>
        <v>0</v>
      </c>
      <c r="P65" s="710">
        <f t="shared" ref="P65:P88" si="31">F65*$K65</f>
        <v>0</v>
      </c>
      <c r="Q65" s="710">
        <f t="shared" ref="Q65:Q88" si="32">G65*$K65</f>
        <v>0</v>
      </c>
      <c r="R65" s="710">
        <f t="shared" ref="R65:R88" si="33">H65*$K65</f>
        <v>0</v>
      </c>
      <c r="V65" s="703"/>
      <c r="W65" s="703"/>
      <c r="AA65" s="357"/>
      <c r="AB65" s="357"/>
      <c r="AC65" s="361"/>
    </row>
    <row r="66" spans="1:29" ht="15.75" thickBot="1">
      <c r="A66" s="462" t="b">
        <f>+A21</f>
        <v>1</v>
      </c>
      <c r="B66" s="20">
        <v>1</v>
      </c>
      <c r="C66" s="20">
        <v>1</v>
      </c>
      <c r="D66" s="20">
        <v>1</v>
      </c>
      <c r="E66" s="20">
        <v>0</v>
      </c>
      <c r="F66" s="20">
        <v>0</v>
      </c>
      <c r="G66" s="20">
        <v>0.25</v>
      </c>
      <c r="H66" s="449">
        <v>0</v>
      </c>
      <c r="I66" s="446" t="s">
        <v>508</v>
      </c>
      <c r="J66" s="31" t="s">
        <v>509</v>
      </c>
      <c r="K66" s="22">
        <f>('3.1 EDIFICACIONES'!J8)*(+$A66)</f>
        <v>530908.32561682479</v>
      </c>
      <c r="L66" s="22">
        <f t="shared" si="27"/>
        <v>530908.32561682479</v>
      </c>
      <c r="M66" s="22">
        <f t="shared" si="28"/>
        <v>530908.32561682479</v>
      </c>
      <c r="N66" s="22">
        <f t="shared" si="29"/>
        <v>530908.32561682479</v>
      </c>
      <c r="O66" s="22">
        <f t="shared" si="30"/>
        <v>0</v>
      </c>
      <c r="P66" s="22">
        <f t="shared" si="31"/>
        <v>0</v>
      </c>
      <c r="Q66" s="22">
        <f t="shared" si="32"/>
        <v>132727.0814042062</v>
      </c>
      <c r="R66" s="28">
        <f t="shared" si="33"/>
        <v>0</v>
      </c>
      <c r="V66" s="703"/>
      <c r="W66" s="703"/>
      <c r="Z66" s="357"/>
      <c r="AB66" s="357"/>
      <c r="AC66" s="361"/>
    </row>
    <row r="67" spans="1:29" ht="15.75" thickBot="1">
      <c r="A67" s="462" t="b">
        <f>+A20</f>
        <v>1</v>
      </c>
      <c r="B67" s="20">
        <v>0</v>
      </c>
      <c r="C67" s="20">
        <v>0</v>
      </c>
      <c r="D67" s="20">
        <v>0</v>
      </c>
      <c r="E67" s="20">
        <v>0</v>
      </c>
      <c r="F67" s="20">
        <v>0</v>
      </c>
      <c r="G67" s="20">
        <v>0</v>
      </c>
      <c r="H67" s="449">
        <v>0</v>
      </c>
      <c r="I67" s="446" t="s">
        <v>510</v>
      </c>
      <c r="J67" s="31" t="s">
        <v>511</v>
      </c>
      <c r="K67" s="22">
        <f>('3.1 EDIFICACIONES'!J12)*(+$A67)</f>
        <v>76914.861207789916</v>
      </c>
      <c r="L67" s="22">
        <f t="shared" si="27"/>
        <v>0</v>
      </c>
      <c r="M67" s="22">
        <f t="shared" si="28"/>
        <v>0</v>
      </c>
      <c r="N67" s="22">
        <f t="shared" si="29"/>
        <v>0</v>
      </c>
      <c r="O67" s="22">
        <f t="shared" si="30"/>
        <v>0</v>
      </c>
      <c r="P67" s="22">
        <f t="shared" si="31"/>
        <v>0</v>
      </c>
      <c r="Q67" s="22">
        <f t="shared" si="32"/>
        <v>0</v>
      </c>
      <c r="R67" s="28">
        <f t="shared" si="33"/>
        <v>0</v>
      </c>
      <c r="V67" s="703"/>
      <c r="W67" s="703"/>
      <c r="Z67" s="357"/>
      <c r="AB67" s="357"/>
      <c r="AC67" s="361"/>
    </row>
    <row r="68" spans="1:29" ht="15.75" thickBot="1">
      <c r="A68" s="462" t="b">
        <f>+A27</f>
        <v>1</v>
      </c>
      <c r="B68" s="20">
        <v>1</v>
      </c>
      <c r="C68" s="20">
        <v>1</v>
      </c>
      <c r="D68" s="20">
        <v>1</v>
      </c>
      <c r="E68" s="20">
        <v>1</v>
      </c>
      <c r="F68" s="20">
        <v>1</v>
      </c>
      <c r="G68" s="20">
        <v>0</v>
      </c>
      <c r="H68" s="449">
        <v>0</v>
      </c>
      <c r="I68" s="446" t="s">
        <v>512</v>
      </c>
      <c r="J68" s="31" t="s">
        <v>513</v>
      </c>
      <c r="K68" s="22">
        <f>('3.1 EDIFICACIONES'!J16)*(+$A68)</f>
        <v>99551.60408725348</v>
      </c>
      <c r="L68" s="22">
        <f t="shared" si="27"/>
        <v>99551.60408725348</v>
      </c>
      <c r="M68" s="22">
        <f t="shared" si="28"/>
        <v>99551.60408725348</v>
      </c>
      <c r="N68" s="22">
        <f t="shared" si="29"/>
        <v>99551.60408725348</v>
      </c>
      <c r="O68" s="22">
        <f t="shared" si="30"/>
        <v>99551.60408725348</v>
      </c>
      <c r="P68" s="22">
        <f t="shared" si="31"/>
        <v>99551.60408725348</v>
      </c>
      <c r="Q68" s="22">
        <f t="shared" si="32"/>
        <v>0</v>
      </c>
      <c r="R68" s="28">
        <f t="shared" si="33"/>
        <v>0</v>
      </c>
      <c r="V68" s="703"/>
      <c r="W68" s="703"/>
      <c r="Z68" s="357"/>
      <c r="AB68" s="357"/>
      <c r="AC68" s="361"/>
    </row>
    <row r="69" spans="1:29" ht="15.75" thickBot="1">
      <c r="A69" s="462" t="b">
        <f>+A33</f>
        <v>1</v>
      </c>
      <c r="B69" s="20">
        <v>1</v>
      </c>
      <c r="C69" s="20">
        <v>1</v>
      </c>
      <c r="D69" s="20">
        <v>1</v>
      </c>
      <c r="E69" s="20">
        <v>1</v>
      </c>
      <c r="F69" s="20">
        <v>1</v>
      </c>
      <c r="G69" s="20">
        <v>0</v>
      </c>
      <c r="H69" s="449">
        <v>0</v>
      </c>
      <c r="I69" s="446" t="s">
        <v>514</v>
      </c>
      <c r="J69" s="31" t="s">
        <v>515</v>
      </c>
      <c r="K69" s="22">
        <f>('3.1 EDIFICACIONES'!J18)*(+$A69)</f>
        <v>0</v>
      </c>
      <c r="L69" s="22">
        <f t="shared" si="27"/>
        <v>0</v>
      </c>
      <c r="M69" s="22">
        <f t="shared" si="28"/>
        <v>0</v>
      </c>
      <c r="N69" s="22">
        <f t="shared" si="29"/>
        <v>0</v>
      </c>
      <c r="O69" s="22">
        <f t="shared" si="30"/>
        <v>0</v>
      </c>
      <c r="P69" s="22">
        <f t="shared" si="31"/>
        <v>0</v>
      </c>
      <c r="Q69" s="22">
        <f t="shared" si="32"/>
        <v>0</v>
      </c>
      <c r="R69" s="28">
        <f t="shared" si="33"/>
        <v>0</v>
      </c>
      <c r="V69" s="703"/>
      <c r="W69" s="703"/>
      <c r="Z69" s="357"/>
      <c r="AB69" s="357"/>
      <c r="AC69" s="361"/>
    </row>
    <row r="70" spans="1:29" ht="15.75" thickBot="1">
      <c r="A70" s="462" t="b">
        <f>+A43</f>
        <v>1</v>
      </c>
      <c r="B70" s="20">
        <v>1</v>
      </c>
      <c r="C70" s="20">
        <v>1</v>
      </c>
      <c r="D70" s="20">
        <v>1</v>
      </c>
      <c r="E70" s="20">
        <v>1</v>
      </c>
      <c r="F70" s="20">
        <v>1</v>
      </c>
      <c r="G70" s="20">
        <v>0</v>
      </c>
      <c r="H70" s="449">
        <v>0</v>
      </c>
      <c r="I70" s="446" t="s">
        <v>516</v>
      </c>
      <c r="J70" s="31" t="s">
        <v>517</v>
      </c>
      <c r="K70" s="22">
        <f>('3.1 EDIFICACIONES'!J23)*(+$A70)</f>
        <v>99551.60408725348</v>
      </c>
      <c r="L70" s="22">
        <f t="shared" si="27"/>
        <v>99551.60408725348</v>
      </c>
      <c r="M70" s="22">
        <f t="shared" si="28"/>
        <v>99551.60408725348</v>
      </c>
      <c r="N70" s="22">
        <f t="shared" si="29"/>
        <v>99551.60408725348</v>
      </c>
      <c r="O70" s="22">
        <f t="shared" si="30"/>
        <v>99551.60408725348</v>
      </c>
      <c r="P70" s="22">
        <f t="shared" si="31"/>
        <v>99551.60408725348</v>
      </c>
      <c r="Q70" s="22">
        <f t="shared" si="32"/>
        <v>0</v>
      </c>
      <c r="R70" s="28">
        <f t="shared" si="33"/>
        <v>0</v>
      </c>
      <c r="V70" s="703"/>
      <c r="W70" s="703"/>
      <c r="Z70" s="357"/>
      <c r="AB70" s="357"/>
      <c r="AC70" s="361"/>
    </row>
    <row r="71" spans="1:29" ht="15.75" thickBot="1">
      <c r="A71" s="462" t="b">
        <f>+A61</f>
        <v>1</v>
      </c>
      <c r="B71" s="20">
        <v>1</v>
      </c>
      <c r="C71" s="20">
        <v>1</v>
      </c>
      <c r="D71" s="20">
        <v>1</v>
      </c>
      <c r="E71" s="20">
        <v>1</v>
      </c>
      <c r="F71" s="20">
        <v>1</v>
      </c>
      <c r="G71" s="20">
        <v>0</v>
      </c>
      <c r="H71" s="449">
        <v>0</v>
      </c>
      <c r="I71" s="446" t="s">
        <v>518</v>
      </c>
      <c r="J71" s="31" t="s">
        <v>519</v>
      </c>
      <c r="K71" s="22">
        <f>('3.1 EDIFICACIONES'!J26)*(+$A71)</f>
        <v>0</v>
      </c>
      <c r="L71" s="22">
        <f t="shared" si="27"/>
        <v>0</v>
      </c>
      <c r="M71" s="22">
        <f t="shared" si="28"/>
        <v>0</v>
      </c>
      <c r="N71" s="22">
        <f t="shared" si="29"/>
        <v>0</v>
      </c>
      <c r="O71" s="22">
        <f t="shared" si="30"/>
        <v>0</v>
      </c>
      <c r="P71" s="22">
        <f t="shared" si="31"/>
        <v>0</v>
      </c>
      <c r="Q71" s="22">
        <f t="shared" si="32"/>
        <v>0</v>
      </c>
      <c r="R71" s="28">
        <f t="shared" si="33"/>
        <v>0</v>
      </c>
      <c r="V71" s="703"/>
      <c r="W71" s="703"/>
      <c r="Z71" s="357"/>
      <c r="AB71" s="357"/>
      <c r="AC71" s="361"/>
    </row>
    <row r="72" spans="1:29" ht="15.75" thickBot="1">
      <c r="A72" s="464" t="b">
        <f>Inicio!$F$22</f>
        <v>1</v>
      </c>
      <c r="B72" s="20">
        <v>1</v>
      </c>
      <c r="C72" s="20">
        <v>1</v>
      </c>
      <c r="D72" s="20">
        <v>0.625</v>
      </c>
      <c r="E72" s="20">
        <v>1</v>
      </c>
      <c r="F72" s="20">
        <v>1</v>
      </c>
      <c r="G72" s="20">
        <v>0</v>
      </c>
      <c r="H72" s="449">
        <v>0</v>
      </c>
      <c r="I72" s="446" t="s">
        <v>520</v>
      </c>
      <c r="J72" s="31" t="s">
        <v>51</v>
      </c>
      <c r="K72" s="22">
        <f>('3.1 EDIFICACIONES'!J28)*(+$A72)</f>
        <v>287566.48617964104</v>
      </c>
      <c r="L72" s="22">
        <f t="shared" si="27"/>
        <v>287566.48617964104</v>
      </c>
      <c r="M72" s="22">
        <f t="shared" si="28"/>
        <v>287566.48617964104</v>
      </c>
      <c r="N72" s="22">
        <f t="shared" si="29"/>
        <v>179729.05386227564</v>
      </c>
      <c r="O72" s="22">
        <f t="shared" si="30"/>
        <v>287566.48617964104</v>
      </c>
      <c r="P72" s="22">
        <f t="shared" si="31"/>
        <v>287566.48617964104</v>
      </c>
      <c r="Q72" s="22">
        <f t="shared" si="32"/>
        <v>0</v>
      </c>
      <c r="R72" s="28">
        <f t="shared" si="33"/>
        <v>0</v>
      </c>
      <c r="V72" s="703"/>
      <c r="W72" s="703"/>
      <c r="Z72" s="357"/>
      <c r="AB72" s="357"/>
      <c r="AC72" s="361"/>
    </row>
    <row r="73" spans="1:29" ht="15.75" thickBot="1">
      <c r="A73" s="464" t="b">
        <f>Inicio!$F$20</f>
        <v>1</v>
      </c>
      <c r="B73" s="20">
        <v>1</v>
      </c>
      <c r="C73" s="20">
        <v>1</v>
      </c>
      <c r="D73" s="20">
        <v>0.625</v>
      </c>
      <c r="E73" s="20">
        <v>0.33333333333333298</v>
      </c>
      <c r="F73" s="20">
        <v>0.625</v>
      </c>
      <c r="G73" s="20">
        <v>0</v>
      </c>
      <c r="H73" s="449">
        <v>0</v>
      </c>
      <c r="I73" s="446" t="s">
        <v>521</v>
      </c>
      <c r="J73" s="31" t="s">
        <v>522</v>
      </c>
      <c r="K73" s="22">
        <f>('3.1 EDIFICACIONES'!J31)*(+$A73)</f>
        <v>309180.96063105192</v>
      </c>
      <c r="L73" s="22">
        <f t="shared" si="27"/>
        <v>309180.96063105192</v>
      </c>
      <c r="M73" s="22">
        <f t="shared" si="28"/>
        <v>309180.96063105192</v>
      </c>
      <c r="N73" s="22">
        <f t="shared" si="29"/>
        <v>193238.10039440746</v>
      </c>
      <c r="O73" s="22">
        <f t="shared" si="30"/>
        <v>103060.32021035053</v>
      </c>
      <c r="P73" s="22">
        <f t="shared" si="31"/>
        <v>193238.10039440746</v>
      </c>
      <c r="Q73" s="22">
        <f t="shared" si="32"/>
        <v>0</v>
      </c>
      <c r="R73" s="28">
        <f t="shared" si="33"/>
        <v>0</v>
      </c>
      <c r="V73" s="703"/>
      <c r="W73" s="703"/>
      <c r="X73" s="357"/>
      <c r="AB73" s="357"/>
      <c r="AC73" s="361"/>
    </row>
    <row r="74" spans="1:29" ht="15.75" thickBot="1">
      <c r="A74" s="464" t="b">
        <f>Inicio!$F$21</f>
        <v>1</v>
      </c>
      <c r="B74" s="20">
        <v>1</v>
      </c>
      <c r="C74" s="20">
        <v>1</v>
      </c>
      <c r="D74" s="20">
        <v>0.625</v>
      </c>
      <c r="E74" s="20">
        <v>0.33333333333333298</v>
      </c>
      <c r="F74" s="20">
        <v>0.625</v>
      </c>
      <c r="G74" s="20">
        <v>0</v>
      </c>
      <c r="H74" s="449">
        <v>0</v>
      </c>
      <c r="I74" s="446" t="s">
        <v>523</v>
      </c>
      <c r="J74" s="31" t="s">
        <v>44</v>
      </c>
      <c r="K74" s="22">
        <f>('3.1 EDIFICACIONES'!J34)*(+$A74)</f>
        <v>198759.18897710482</v>
      </c>
      <c r="L74" s="22">
        <f t="shared" si="27"/>
        <v>198759.18897710482</v>
      </c>
      <c r="M74" s="22">
        <f t="shared" si="28"/>
        <v>198759.18897710482</v>
      </c>
      <c r="N74" s="22">
        <f t="shared" si="29"/>
        <v>124224.49311069051</v>
      </c>
      <c r="O74" s="22">
        <f t="shared" si="30"/>
        <v>66253.062992368199</v>
      </c>
      <c r="P74" s="22">
        <f t="shared" si="31"/>
        <v>124224.49311069051</v>
      </c>
      <c r="Q74" s="22">
        <f t="shared" si="32"/>
        <v>0</v>
      </c>
      <c r="R74" s="28">
        <f t="shared" si="33"/>
        <v>0</v>
      </c>
      <c r="X74" s="376"/>
      <c r="Y74" s="376"/>
      <c r="Z74" s="376"/>
      <c r="AA74" s="359"/>
      <c r="AC74" s="361"/>
    </row>
    <row r="75" spans="1:29" ht="15.75" thickBot="1">
      <c r="A75" s="464" t="b">
        <f>Inicio!$F$23</f>
        <v>1</v>
      </c>
      <c r="B75" s="20">
        <v>1</v>
      </c>
      <c r="C75" s="20">
        <v>1</v>
      </c>
      <c r="D75" s="20">
        <v>0.625</v>
      </c>
      <c r="E75" s="20">
        <v>0.33333333333333298</v>
      </c>
      <c r="F75" s="20">
        <v>0.625</v>
      </c>
      <c r="G75" s="20">
        <v>0</v>
      </c>
      <c r="H75" s="449">
        <v>0</v>
      </c>
      <c r="I75" s="446" t="s">
        <v>524</v>
      </c>
      <c r="J75" s="31" t="s">
        <v>57</v>
      </c>
      <c r="K75" s="22">
        <f>('3.1 EDIFICACIONES'!J37)*(+$A75)</f>
        <v>656489.31718881638</v>
      </c>
      <c r="L75" s="22">
        <f t="shared" si="27"/>
        <v>656489.31718881638</v>
      </c>
      <c r="M75" s="22">
        <f t="shared" si="28"/>
        <v>656489.31718881638</v>
      </c>
      <c r="N75" s="22">
        <f t="shared" si="29"/>
        <v>410305.82324301021</v>
      </c>
      <c r="O75" s="22">
        <f t="shared" si="30"/>
        <v>218829.7723962719</v>
      </c>
      <c r="P75" s="22">
        <f t="shared" si="31"/>
        <v>410305.82324301021</v>
      </c>
      <c r="Q75" s="22">
        <f t="shared" si="32"/>
        <v>0</v>
      </c>
      <c r="R75" s="28">
        <f t="shared" si="33"/>
        <v>0</v>
      </c>
      <c r="X75" s="360"/>
      <c r="Y75" s="360"/>
      <c r="Z75" s="360"/>
      <c r="AA75" s="360"/>
      <c r="AB75" s="357"/>
      <c r="AC75" s="361"/>
    </row>
    <row r="76" spans="1:29" ht="15.75" thickBot="1">
      <c r="A76" s="462" t="b">
        <f>+A75</f>
        <v>1</v>
      </c>
      <c r="B76" s="20">
        <v>1</v>
      </c>
      <c r="C76" s="20">
        <v>1</v>
      </c>
      <c r="D76" s="20">
        <v>0.625</v>
      </c>
      <c r="E76" s="20">
        <v>0.33333333333333298</v>
      </c>
      <c r="F76" s="20">
        <v>0.625</v>
      </c>
      <c r="G76" s="20">
        <v>0</v>
      </c>
      <c r="H76" s="449">
        <v>0</v>
      </c>
      <c r="I76" s="446" t="s">
        <v>525</v>
      </c>
      <c r="J76" s="31" t="s">
        <v>526</v>
      </c>
      <c r="K76" s="22">
        <f>('3.1 EDIFICACIONES'!J40)*(+$A76)</f>
        <v>0</v>
      </c>
      <c r="L76" s="22">
        <f t="shared" si="27"/>
        <v>0</v>
      </c>
      <c r="M76" s="22">
        <f t="shared" si="28"/>
        <v>0</v>
      </c>
      <c r="N76" s="22">
        <f t="shared" si="29"/>
        <v>0</v>
      </c>
      <c r="O76" s="22">
        <f t="shared" si="30"/>
        <v>0</v>
      </c>
      <c r="P76" s="22">
        <f t="shared" si="31"/>
        <v>0</v>
      </c>
      <c r="Q76" s="22">
        <f t="shared" si="32"/>
        <v>0</v>
      </c>
      <c r="R76" s="28">
        <f t="shared" si="33"/>
        <v>0</v>
      </c>
      <c r="AB76" s="357"/>
    </row>
    <row r="77" spans="1:29" ht="15.75" thickBot="1">
      <c r="A77" s="464" t="b">
        <f>Inicio!$F$24</f>
        <v>1</v>
      </c>
      <c r="B77" s="20">
        <v>1</v>
      </c>
      <c r="C77" s="20">
        <v>1</v>
      </c>
      <c r="D77" s="20">
        <v>0.5</v>
      </c>
      <c r="E77" s="20">
        <v>0.33333333333333298</v>
      </c>
      <c r="F77" s="20">
        <v>0.625</v>
      </c>
      <c r="G77" s="20">
        <v>0</v>
      </c>
      <c r="H77" s="449">
        <v>0</v>
      </c>
      <c r="I77" s="446" t="s">
        <v>527</v>
      </c>
      <c r="J77" s="31" t="s">
        <v>60</v>
      </c>
      <c r="K77" s="22">
        <f>('3.1 EDIFICACIONES'!J43)*(+$A77)</f>
        <v>83907.121317589015</v>
      </c>
      <c r="L77" s="22">
        <f t="shared" si="27"/>
        <v>83907.121317589015</v>
      </c>
      <c r="M77" s="22">
        <f t="shared" si="28"/>
        <v>83907.121317589015</v>
      </c>
      <c r="N77" s="22">
        <f t="shared" si="29"/>
        <v>41953.560658794508</v>
      </c>
      <c r="O77" s="22">
        <f t="shared" si="30"/>
        <v>27969.040439196309</v>
      </c>
      <c r="P77" s="22">
        <f t="shared" si="31"/>
        <v>52441.950823493135</v>
      </c>
      <c r="Q77" s="22">
        <f t="shared" si="32"/>
        <v>0</v>
      </c>
      <c r="R77" s="28">
        <f t="shared" si="33"/>
        <v>0</v>
      </c>
    </row>
    <row r="78" spans="1:29" ht="15.75" thickBot="1">
      <c r="A78" s="463" t="b">
        <f>Inicio!$F$30</f>
        <v>1</v>
      </c>
      <c r="B78" s="711"/>
      <c r="C78" s="711"/>
      <c r="D78" s="711"/>
      <c r="E78" s="711"/>
      <c r="F78" s="711"/>
      <c r="G78" s="711"/>
      <c r="H78" s="711"/>
      <c r="I78" s="448">
        <v>3.2</v>
      </c>
      <c r="J78" s="19" t="s">
        <v>77</v>
      </c>
      <c r="K78" s="710"/>
      <c r="L78" s="710">
        <f t="shared" si="27"/>
        <v>0</v>
      </c>
      <c r="M78" s="710">
        <f t="shared" si="28"/>
        <v>0</v>
      </c>
      <c r="N78" s="710">
        <f t="shared" si="29"/>
        <v>0</v>
      </c>
      <c r="O78" s="710">
        <f t="shared" si="30"/>
        <v>0</v>
      </c>
      <c r="P78" s="710">
        <f t="shared" si="31"/>
        <v>0</v>
      </c>
      <c r="Q78" s="710">
        <f t="shared" si="32"/>
        <v>0</v>
      </c>
      <c r="R78" s="710">
        <f t="shared" si="33"/>
        <v>0</v>
      </c>
      <c r="X78" s="357"/>
    </row>
    <row r="79" spans="1:29" ht="15.75" thickBot="1">
      <c r="A79" s="462" t="b">
        <f>+A78</f>
        <v>1</v>
      </c>
      <c r="B79" s="20">
        <v>1</v>
      </c>
      <c r="C79" s="20">
        <v>0.66666666666666696</v>
      </c>
      <c r="D79" s="20">
        <v>0.5</v>
      </c>
      <c r="E79" s="20">
        <v>0.33333333333333298</v>
      </c>
      <c r="F79" s="20">
        <v>0.625</v>
      </c>
      <c r="G79" s="20">
        <v>0</v>
      </c>
      <c r="H79" s="449">
        <v>0</v>
      </c>
      <c r="I79" s="446" t="s">
        <v>528</v>
      </c>
      <c r="J79" s="31" t="s">
        <v>529</v>
      </c>
      <c r="K79" s="22">
        <f>('3.2 VIAS'!J10)*(+$A79)</f>
        <v>170866.13663766134</v>
      </c>
      <c r="L79" s="22">
        <f t="shared" si="27"/>
        <v>170866.13663766134</v>
      </c>
      <c r="M79" s="22">
        <f t="shared" si="28"/>
        <v>113910.75775844094</v>
      </c>
      <c r="N79" s="22">
        <f t="shared" si="29"/>
        <v>85433.068318830672</v>
      </c>
      <c r="O79" s="22">
        <f t="shared" si="30"/>
        <v>56955.378879220385</v>
      </c>
      <c r="P79" s="22">
        <f t="shared" si="31"/>
        <v>106791.33539853834</v>
      </c>
      <c r="Q79" s="22">
        <f t="shared" si="32"/>
        <v>0</v>
      </c>
      <c r="R79" s="28">
        <f t="shared" si="33"/>
        <v>0</v>
      </c>
      <c r="X79" s="360"/>
    </row>
    <row r="80" spans="1:29" ht="15.75" thickBot="1">
      <c r="A80" s="462" t="b">
        <f>+A79</f>
        <v>1</v>
      </c>
      <c r="B80" s="20">
        <v>1</v>
      </c>
      <c r="C80" s="20">
        <v>1</v>
      </c>
      <c r="D80" s="20">
        <v>1</v>
      </c>
      <c r="E80" s="20">
        <v>1</v>
      </c>
      <c r="F80" s="20">
        <v>1</v>
      </c>
      <c r="G80" s="20">
        <v>0</v>
      </c>
      <c r="H80" s="449">
        <v>0</v>
      </c>
      <c r="I80" s="446" t="s">
        <v>530</v>
      </c>
      <c r="J80" s="31" t="s">
        <v>531</v>
      </c>
      <c r="K80" s="22">
        <f>('3.2 VIAS'!J12)*(+$A80)</f>
        <v>79432.074847317592</v>
      </c>
      <c r="L80" s="22">
        <f t="shared" si="27"/>
        <v>79432.074847317592</v>
      </c>
      <c r="M80" s="22">
        <f t="shared" si="28"/>
        <v>79432.074847317592</v>
      </c>
      <c r="N80" s="22">
        <f t="shared" si="29"/>
        <v>79432.074847317592</v>
      </c>
      <c r="O80" s="22">
        <f t="shared" si="30"/>
        <v>79432.074847317592</v>
      </c>
      <c r="P80" s="22">
        <f t="shared" si="31"/>
        <v>79432.074847317592</v>
      </c>
      <c r="Q80" s="22">
        <f t="shared" si="32"/>
        <v>0</v>
      </c>
      <c r="R80" s="28">
        <f t="shared" si="33"/>
        <v>0</v>
      </c>
    </row>
    <row r="81" spans="1:26" ht="15.75" thickBot="1">
      <c r="A81" s="462"/>
      <c r="B81" s="711"/>
      <c r="C81" s="711"/>
      <c r="D81" s="711"/>
      <c r="E81" s="711"/>
      <c r="F81" s="711"/>
      <c r="G81" s="711"/>
      <c r="H81" s="711"/>
      <c r="I81" s="444">
        <v>3.3</v>
      </c>
      <c r="J81" s="19" t="s">
        <v>532</v>
      </c>
      <c r="K81" s="710"/>
      <c r="L81" s="710">
        <f t="shared" si="27"/>
        <v>0</v>
      </c>
      <c r="M81" s="710">
        <f t="shared" si="28"/>
        <v>0</v>
      </c>
      <c r="N81" s="710">
        <f t="shared" si="29"/>
        <v>0</v>
      </c>
      <c r="O81" s="710">
        <f t="shared" si="30"/>
        <v>0</v>
      </c>
      <c r="P81" s="710">
        <f t="shared" si="31"/>
        <v>0</v>
      </c>
      <c r="Q81" s="710">
        <f t="shared" si="32"/>
        <v>0</v>
      </c>
      <c r="R81" s="710">
        <f t="shared" si="33"/>
        <v>0</v>
      </c>
      <c r="Y81" s="357"/>
      <c r="Z81" s="360"/>
    </row>
    <row r="82" spans="1:26" ht="26.25" thickBot="1">
      <c r="A82" s="463" t="b">
        <f>Inicio!$F$29</f>
        <v>1</v>
      </c>
      <c r="B82" s="20">
        <v>1</v>
      </c>
      <c r="C82" s="20">
        <v>0.66666666666666696</v>
      </c>
      <c r="D82" s="20">
        <v>0.5</v>
      </c>
      <c r="E82" s="20">
        <v>0.33333333333333298</v>
      </c>
      <c r="F82" s="20">
        <v>0.625</v>
      </c>
      <c r="G82" s="20">
        <v>0</v>
      </c>
      <c r="H82" s="449">
        <v>0</v>
      </c>
      <c r="I82" s="446" t="s">
        <v>533</v>
      </c>
      <c r="J82" s="31" t="s">
        <v>534</v>
      </c>
      <c r="K82" s="22">
        <f>('3.3.1 PAISAJ. Y URBANISMO'!J9)*(+$A82)</f>
        <v>83907.121317589015</v>
      </c>
      <c r="L82" s="22">
        <f t="shared" si="27"/>
        <v>83907.121317589015</v>
      </c>
      <c r="M82" s="22">
        <f t="shared" si="28"/>
        <v>55938.080878392699</v>
      </c>
      <c r="N82" s="22">
        <f t="shared" si="29"/>
        <v>41953.560658794508</v>
      </c>
      <c r="O82" s="22">
        <f t="shared" si="30"/>
        <v>27969.040439196309</v>
      </c>
      <c r="P82" s="22">
        <f t="shared" si="31"/>
        <v>52441.950823493135</v>
      </c>
      <c r="Q82" s="22">
        <f t="shared" si="32"/>
        <v>0</v>
      </c>
      <c r="R82" s="28">
        <f t="shared" si="33"/>
        <v>0</v>
      </c>
      <c r="X82" s="357"/>
    </row>
    <row r="83" spans="1:26" ht="15.75" thickBot="1">
      <c r="A83" s="462"/>
      <c r="B83" s="711"/>
      <c r="C83" s="711"/>
      <c r="D83" s="711"/>
      <c r="E83" s="711"/>
      <c r="F83" s="711"/>
      <c r="G83" s="711"/>
      <c r="H83" s="711"/>
      <c r="I83" s="444">
        <v>3.4</v>
      </c>
      <c r="J83" s="19" t="s">
        <v>535</v>
      </c>
      <c r="K83" s="710"/>
      <c r="L83" s="710">
        <f t="shared" si="27"/>
        <v>0</v>
      </c>
      <c r="M83" s="710">
        <f t="shared" si="28"/>
        <v>0</v>
      </c>
      <c r="N83" s="710">
        <f t="shared" si="29"/>
        <v>0</v>
      </c>
      <c r="O83" s="710">
        <f t="shared" si="30"/>
        <v>0</v>
      </c>
      <c r="P83" s="710">
        <f t="shared" si="31"/>
        <v>0</v>
      </c>
      <c r="Q83" s="710">
        <f t="shared" si="32"/>
        <v>0</v>
      </c>
      <c r="R83" s="710">
        <f t="shared" si="33"/>
        <v>0</v>
      </c>
    </row>
    <row r="84" spans="1:26" ht="15.75" thickBot="1">
      <c r="A84" s="464" t="b">
        <f>Inicio!$F$28</f>
        <v>1</v>
      </c>
      <c r="B84" s="20">
        <v>1</v>
      </c>
      <c r="C84" s="20">
        <v>0.66666666666666696</v>
      </c>
      <c r="D84" s="20">
        <v>0.5</v>
      </c>
      <c r="E84" s="20">
        <v>0.33333333333333298</v>
      </c>
      <c r="F84" s="20">
        <v>0.625</v>
      </c>
      <c r="G84" s="20">
        <v>0</v>
      </c>
      <c r="H84" s="449">
        <v>0</v>
      </c>
      <c r="I84" s="446" t="s">
        <v>536</v>
      </c>
      <c r="J84" s="31" t="s">
        <v>537</v>
      </c>
      <c r="K84" s="22">
        <f>('3.4 OBRAS PROTEC. GEOTEC.'!J9)*(+$A84)</f>
        <v>109079.25771286571</v>
      </c>
      <c r="L84" s="22">
        <f t="shared" si="27"/>
        <v>109079.25771286571</v>
      </c>
      <c r="M84" s="22">
        <f t="shared" si="28"/>
        <v>72719.505141910515</v>
      </c>
      <c r="N84" s="22">
        <f t="shared" si="29"/>
        <v>54539.628856432857</v>
      </c>
      <c r="O84" s="22">
        <f t="shared" si="30"/>
        <v>36359.752570955199</v>
      </c>
      <c r="P84" s="22">
        <f t="shared" si="31"/>
        <v>68174.536070541071</v>
      </c>
      <c r="Q84" s="22">
        <f t="shared" si="32"/>
        <v>0</v>
      </c>
      <c r="R84" s="28">
        <f t="shared" si="33"/>
        <v>0</v>
      </c>
      <c r="X84" s="357"/>
      <c r="Y84" s="360"/>
    </row>
    <row r="85" spans="1:26" ht="15.75" thickBot="1">
      <c r="A85" s="463" t="b">
        <f>Inicio!$F$27</f>
        <v>1</v>
      </c>
      <c r="B85" s="711"/>
      <c r="C85" s="711"/>
      <c r="D85" s="711"/>
      <c r="E85" s="711"/>
      <c r="F85" s="711"/>
      <c r="G85" s="711"/>
      <c r="H85" s="711"/>
      <c r="I85" s="444">
        <v>3.5</v>
      </c>
      <c r="J85" s="19" t="s">
        <v>538</v>
      </c>
      <c r="K85" s="710"/>
      <c r="L85" s="710">
        <f t="shared" si="27"/>
        <v>0</v>
      </c>
      <c r="M85" s="710">
        <f t="shared" si="28"/>
        <v>0</v>
      </c>
      <c r="N85" s="710">
        <f t="shared" si="29"/>
        <v>0</v>
      </c>
      <c r="O85" s="710">
        <f t="shared" si="30"/>
        <v>0</v>
      </c>
      <c r="P85" s="710">
        <f t="shared" si="31"/>
        <v>0</v>
      </c>
      <c r="Q85" s="710">
        <f t="shared" si="32"/>
        <v>0</v>
      </c>
      <c r="R85" s="710">
        <f t="shared" si="33"/>
        <v>0</v>
      </c>
    </row>
    <row r="86" spans="1:26" ht="15.75" thickBot="1">
      <c r="A86" s="462" t="b">
        <f>+A85</f>
        <v>1</v>
      </c>
      <c r="B86" s="20">
        <v>0</v>
      </c>
      <c r="C86" s="20">
        <v>0</v>
      </c>
      <c r="D86" s="20">
        <v>0</v>
      </c>
      <c r="E86" s="20">
        <v>0</v>
      </c>
      <c r="F86" s="20">
        <v>0</v>
      </c>
      <c r="G86" s="20">
        <v>0</v>
      </c>
      <c r="H86" s="449">
        <v>1</v>
      </c>
      <c r="I86" s="446" t="s">
        <v>539</v>
      </c>
      <c r="J86" s="31" t="s">
        <v>540</v>
      </c>
      <c r="K86" s="22">
        <f>('3.5 Desmantelaminento Unidades'!N14)*(+$A86)</f>
        <v>1280453.6983553872</v>
      </c>
      <c r="L86" s="22">
        <f t="shared" si="27"/>
        <v>0</v>
      </c>
      <c r="M86" s="22">
        <f t="shared" si="28"/>
        <v>0</v>
      </c>
      <c r="N86" s="22">
        <f t="shared" si="29"/>
        <v>0</v>
      </c>
      <c r="O86" s="22">
        <f t="shared" si="30"/>
        <v>0</v>
      </c>
      <c r="P86" s="22">
        <f t="shared" si="31"/>
        <v>0</v>
      </c>
      <c r="Q86" s="22">
        <f t="shared" si="32"/>
        <v>0</v>
      </c>
      <c r="R86" s="28">
        <f t="shared" si="33"/>
        <v>1280453.6983553872</v>
      </c>
    </row>
    <row r="87" spans="1:26" ht="15.75" thickBot="1">
      <c r="A87" s="462" t="b">
        <f>+A86</f>
        <v>1</v>
      </c>
      <c r="B87" s="20">
        <v>0</v>
      </c>
      <c r="C87" s="20">
        <v>0</v>
      </c>
      <c r="D87" s="20">
        <v>0</v>
      </c>
      <c r="E87" s="20">
        <v>0</v>
      </c>
      <c r="F87" s="20">
        <v>0</v>
      </c>
      <c r="G87" s="20">
        <v>0</v>
      </c>
      <c r="H87" s="449">
        <v>1</v>
      </c>
      <c r="I87" s="446" t="s">
        <v>541</v>
      </c>
      <c r="J87" s="31" t="s">
        <v>542</v>
      </c>
      <c r="K87" s="22">
        <f>('3.5 Desmantelaminento Unidades'!N24)*(+$A87)</f>
        <v>1703003.4188126649</v>
      </c>
      <c r="L87" s="22">
        <f t="shared" si="27"/>
        <v>0</v>
      </c>
      <c r="M87" s="22">
        <f t="shared" si="28"/>
        <v>0</v>
      </c>
      <c r="N87" s="22">
        <f t="shared" si="29"/>
        <v>0</v>
      </c>
      <c r="O87" s="22">
        <f t="shared" si="30"/>
        <v>0</v>
      </c>
      <c r="P87" s="22">
        <f t="shared" si="31"/>
        <v>0</v>
      </c>
      <c r="Q87" s="22">
        <f t="shared" si="32"/>
        <v>0</v>
      </c>
      <c r="R87" s="28">
        <f t="shared" si="33"/>
        <v>1703003.4188126649</v>
      </c>
    </row>
    <row r="88" spans="1:26" ht="15.75" thickBot="1">
      <c r="A88" s="462" t="b">
        <f>+A87</f>
        <v>1</v>
      </c>
      <c r="B88" s="20">
        <v>1</v>
      </c>
      <c r="C88" s="20">
        <v>1</v>
      </c>
      <c r="D88" s="20">
        <v>1</v>
      </c>
      <c r="E88" s="20">
        <v>1</v>
      </c>
      <c r="F88" s="20">
        <v>1</v>
      </c>
      <c r="G88" s="20">
        <v>0</v>
      </c>
      <c r="H88" s="449">
        <v>0</v>
      </c>
      <c r="I88" s="446"/>
      <c r="J88" s="32" t="s">
        <v>543</v>
      </c>
      <c r="K88" s="22">
        <f>('OBRAS CIVILES'!N19*(+$A88))</f>
        <v>516838.02435019967</v>
      </c>
      <c r="L88" s="22">
        <f t="shared" si="27"/>
        <v>516838.02435019967</v>
      </c>
      <c r="M88" s="22">
        <f t="shared" si="28"/>
        <v>516838.02435019967</v>
      </c>
      <c r="N88" s="22">
        <f t="shared" si="29"/>
        <v>516838.02435019967</v>
      </c>
      <c r="O88" s="22">
        <f t="shared" si="30"/>
        <v>516838.02435019967</v>
      </c>
      <c r="P88" s="22">
        <f t="shared" si="31"/>
        <v>516838.02435019967</v>
      </c>
      <c r="Q88" s="22">
        <f t="shared" si="32"/>
        <v>0</v>
      </c>
      <c r="R88" s="28">
        <f t="shared" si="33"/>
        <v>0</v>
      </c>
    </row>
    <row r="89" spans="1:26" ht="19.5" thickBot="1">
      <c r="A89" s="462"/>
      <c r="B89" s="712"/>
      <c r="C89" s="712"/>
      <c r="D89" s="712"/>
      <c r="E89" s="712"/>
      <c r="F89" s="712"/>
      <c r="G89" s="712"/>
      <c r="H89" s="713"/>
      <c r="I89" s="445"/>
      <c r="J89" s="12" t="s">
        <v>445</v>
      </c>
      <c r="K89" s="714"/>
      <c r="L89" s="714"/>
      <c r="M89" s="714"/>
      <c r="N89" s="714"/>
      <c r="O89" s="714"/>
      <c r="P89" s="714"/>
      <c r="Q89" s="714"/>
      <c r="R89" s="715"/>
    </row>
    <row r="90" spans="1:26" ht="15.75" thickBot="1">
      <c r="A90" s="462" t="b">
        <f>+A14</f>
        <v>1</v>
      </c>
      <c r="B90" s="20">
        <v>0</v>
      </c>
      <c r="C90" s="20">
        <v>0</v>
      </c>
      <c r="D90" s="20">
        <v>1</v>
      </c>
      <c r="E90" s="459">
        <v>1</v>
      </c>
      <c r="F90" s="20">
        <v>1</v>
      </c>
      <c r="G90" s="20">
        <v>0</v>
      </c>
      <c r="H90" s="449">
        <v>0</v>
      </c>
      <c r="I90" s="446" t="s">
        <v>544</v>
      </c>
      <c r="J90" s="24" t="s">
        <v>545</v>
      </c>
      <c r="K90" s="22">
        <f>(5378995887/trm_ref)*(+$A90)</f>
        <v>1366671.8525562736</v>
      </c>
      <c r="L90" s="22">
        <f t="shared" ref="L90:R94" si="34">B90*$K90</f>
        <v>0</v>
      </c>
      <c r="M90" s="22">
        <f t="shared" si="34"/>
        <v>0</v>
      </c>
      <c r="N90" s="22">
        <f t="shared" si="34"/>
        <v>1366671.8525562736</v>
      </c>
      <c r="O90" s="22">
        <f t="shared" si="34"/>
        <v>1366671.8525562736</v>
      </c>
      <c r="P90" s="22">
        <f t="shared" si="34"/>
        <v>1366671.8525562736</v>
      </c>
      <c r="Q90" s="22">
        <f t="shared" si="34"/>
        <v>0</v>
      </c>
      <c r="R90" s="28">
        <f t="shared" si="34"/>
        <v>0</v>
      </c>
    </row>
    <row r="91" spans="1:26" ht="15.75" thickBot="1">
      <c r="A91" s="462" t="b">
        <f>+A90</f>
        <v>1</v>
      </c>
      <c r="B91" s="20">
        <v>1</v>
      </c>
      <c r="C91" s="20">
        <v>1</v>
      </c>
      <c r="D91" s="20">
        <v>1</v>
      </c>
      <c r="E91" s="20">
        <v>1</v>
      </c>
      <c r="F91" s="20">
        <v>1</v>
      </c>
      <c r="G91" s="20">
        <v>0</v>
      </c>
      <c r="H91" s="449">
        <v>0</v>
      </c>
      <c r="I91" s="446" t="s">
        <v>546</v>
      </c>
      <c r="J91" s="24" t="s">
        <v>547</v>
      </c>
      <c r="K91" s="22">
        <f>('1.3.3 Sistema de Tea'!N15)*(+$A91)</f>
        <v>127525.66387311714</v>
      </c>
      <c r="L91" s="22">
        <f t="shared" si="34"/>
        <v>127525.66387311714</v>
      </c>
      <c r="M91" s="22">
        <f t="shared" si="34"/>
        <v>127525.66387311714</v>
      </c>
      <c r="N91" s="22">
        <f t="shared" si="34"/>
        <v>127525.66387311714</v>
      </c>
      <c r="O91" s="22">
        <f t="shared" si="34"/>
        <v>127525.66387311714</v>
      </c>
      <c r="P91" s="22">
        <f t="shared" si="34"/>
        <v>127525.66387311714</v>
      </c>
      <c r="Q91" s="22">
        <f t="shared" si="34"/>
        <v>0</v>
      </c>
      <c r="R91" s="28">
        <f t="shared" si="34"/>
        <v>0</v>
      </c>
    </row>
    <row r="92" spans="1:26" ht="15.75" thickBot="1">
      <c r="A92" s="463" t="b">
        <f>Inicio!$G$15</f>
        <v>1</v>
      </c>
      <c r="B92" s="20">
        <v>1</v>
      </c>
      <c r="C92" s="20">
        <v>1</v>
      </c>
      <c r="D92" s="20">
        <v>0</v>
      </c>
      <c r="E92" s="20">
        <v>0</v>
      </c>
      <c r="F92" s="20">
        <v>0</v>
      </c>
      <c r="G92" s="20">
        <v>0</v>
      </c>
      <c r="H92" s="449">
        <v>0</v>
      </c>
      <c r="I92" s="446" t="s">
        <v>548</v>
      </c>
      <c r="J92" s="24" t="s">
        <v>34</v>
      </c>
      <c r="K92" s="22">
        <f>('1.7 SISTEMA DE MARCACIÓN'!J16+'1.7 SISTEMA DE MARCACIÓN'!L16)*(+$A92)</f>
        <v>24546.607341528324</v>
      </c>
      <c r="L92" s="22">
        <f t="shared" si="34"/>
        <v>24546.607341528324</v>
      </c>
      <c r="M92" s="22">
        <f t="shared" si="34"/>
        <v>24546.607341528324</v>
      </c>
      <c r="N92" s="22">
        <f t="shared" si="34"/>
        <v>0</v>
      </c>
      <c r="O92" s="22">
        <f t="shared" si="34"/>
        <v>0</v>
      </c>
      <c r="P92" s="22">
        <f t="shared" si="34"/>
        <v>0</v>
      </c>
      <c r="Q92" s="22">
        <f t="shared" si="34"/>
        <v>0</v>
      </c>
      <c r="R92" s="28">
        <f t="shared" si="34"/>
        <v>0</v>
      </c>
    </row>
    <row r="93" spans="1:26" ht="15.75" thickBot="1">
      <c r="A93" s="462" t="b">
        <f>+A90</f>
        <v>1</v>
      </c>
      <c r="B93" s="20">
        <v>1</v>
      </c>
      <c r="C93" s="459">
        <v>1</v>
      </c>
      <c r="D93" s="20">
        <v>0</v>
      </c>
      <c r="E93" s="20">
        <v>0</v>
      </c>
      <c r="F93" s="20">
        <v>0</v>
      </c>
      <c r="G93" s="20">
        <v>0</v>
      </c>
      <c r="H93" s="449">
        <v>0</v>
      </c>
      <c r="I93" s="446" t="s">
        <v>549</v>
      </c>
      <c r="J93" s="33" t="s">
        <v>545</v>
      </c>
      <c r="K93" s="22">
        <f>(5378995887/trm_ref)*(+$A93)</f>
        <v>1366671.8525562736</v>
      </c>
      <c r="L93" s="22">
        <f t="shared" si="34"/>
        <v>1366671.8525562736</v>
      </c>
      <c r="M93" s="22">
        <f t="shared" si="34"/>
        <v>1366671.8525562736</v>
      </c>
      <c r="N93" s="22">
        <f t="shared" si="34"/>
        <v>0</v>
      </c>
      <c r="O93" s="22">
        <f t="shared" si="34"/>
        <v>0</v>
      </c>
      <c r="P93" s="22">
        <f t="shared" si="34"/>
        <v>0</v>
      </c>
      <c r="Q93" s="22">
        <f t="shared" si="34"/>
        <v>0</v>
      </c>
      <c r="R93" s="28">
        <f t="shared" si="34"/>
        <v>0</v>
      </c>
    </row>
    <row r="94" spans="1:26" ht="26.25" thickBot="1">
      <c r="A94" s="462" t="b">
        <f>+A26</f>
        <v>1</v>
      </c>
      <c r="B94" s="20">
        <v>1</v>
      </c>
      <c r="C94" s="20">
        <v>1</v>
      </c>
      <c r="D94" s="20">
        <v>1</v>
      </c>
      <c r="E94" s="20">
        <v>1</v>
      </c>
      <c r="F94" s="20">
        <v>1</v>
      </c>
      <c r="G94" s="20">
        <v>0</v>
      </c>
      <c r="H94" s="449">
        <v>0</v>
      </c>
      <c r="I94" s="446" t="s">
        <v>439</v>
      </c>
      <c r="J94" s="24" t="s">
        <v>550</v>
      </c>
      <c r="K94" s="22">
        <f>(7402987607/trm_ref)*(+$A94)</f>
        <v>1880918.8554618102</v>
      </c>
      <c r="L94" s="22">
        <f t="shared" si="34"/>
        <v>1880918.8554618102</v>
      </c>
      <c r="M94" s="22">
        <f t="shared" si="34"/>
        <v>1880918.8554618102</v>
      </c>
      <c r="N94" s="22">
        <f t="shared" si="34"/>
        <v>1880918.8554618102</v>
      </c>
      <c r="O94" s="22">
        <f t="shared" si="34"/>
        <v>1880918.8554618102</v>
      </c>
      <c r="P94" s="22">
        <f t="shared" si="34"/>
        <v>1880918.8554618102</v>
      </c>
      <c r="Q94" s="22">
        <f t="shared" si="34"/>
        <v>0</v>
      </c>
      <c r="R94" s="28">
        <f t="shared" si="34"/>
        <v>0</v>
      </c>
    </row>
    <row r="95" spans="1:26" ht="13.5" thickBot="1">
      <c r="K95" s="482">
        <f>SUM(K33:K94)-SUM(K86:K88)</f>
        <v>19130429.370402768</v>
      </c>
      <c r="L95" s="482">
        <f>SUM(L33:L94)</f>
        <v>18203680.6809889</v>
      </c>
      <c r="M95" s="482">
        <f t="shared" ref="M95:R95" si="35">SUM(M33:M94)</f>
        <v>17947368.209158629</v>
      </c>
      <c r="N95" s="482">
        <f t="shared" si="35"/>
        <v>14498378.244458877</v>
      </c>
      <c r="O95" s="481">
        <f t="shared" si="35"/>
        <v>10581000.542494738</v>
      </c>
      <c r="P95" s="481">
        <f t="shared" si="35"/>
        <v>13010050.105133438</v>
      </c>
      <c r="Q95" s="481">
        <f t="shared" si="35"/>
        <v>2934727.4883055068</v>
      </c>
      <c r="R95" s="481">
        <f t="shared" si="35"/>
        <v>10166160.416973192</v>
      </c>
    </row>
    <row r="106" ht="14.1" customHeight="1"/>
  </sheetData>
  <sheetProtection algorithmName="SHA-512" hashValue="uRdG2fYcssTH4VWMBkRoAKNodhVdPtNGrpxdkKiHs6L2JanC24/G3ZHBtjRaWspZvga3peVkgOOUYTFPuFK0ug==" saltValue="U+Q/lGBfIJatSGGijd1PuA==" spinCount="100000" sheet="1" objects="1" scenarios="1"/>
  <mergeCells count="111">
    <mergeCell ref="A8:A10"/>
    <mergeCell ref="B2:H6"/>
    <mergeCell ref="S23:BJ23"/>
    <mergeCell ref="S26:BJ26"/>
    <mergeCell ref="AM8:AP8"/>
    <mergeCell ref="AQ8:AT8"/>
    <mergeCell ref="B8:F8"/>
    <mergeCell ref="G8:H8"/>
    <mergeCell ref="K8:R8"/>
    <mergeCell ref="S8:V8"/>
    <mergeCell ref="W8:Z8"/>
    <mergeCell ref="K2:L2"/>
    <mergeCell ref="N2:S2"/>
    <mergeCell ref="K3:L3"/>
    <mergeCell ref="N3:S3"/>
    <mergeCell ref="AM9:AN9"/>
    <mergeCell ref="AO9:AP9"/>
    <mergeCell ref="AQ9:AR9"/>
    <mergeCell ref="AS9:AT9"/>
    <mergeCell ref="B10:H10"/>
    <mergeCell ref="AU8:BB8"/>
    <mergeCell ref="BC8:BJ8"/>
    <mergeCell ref="AC9:AD9"/>
    <mergeCell ref="AE9:AF9"/>
    <mergeCell ref="AG9:AH9"/>
    <mergeCell ref="AI9:AJ9"/>
    <mergeCell ref="AK9:AL9"/>
    <mergeCell ref="AA8:AD8"/>
    <mergeCell ref="AE8:AH8"/>
    <mergeCell ref="AI8:AL8"/>
    <mergeCell ref="B26:H26"/>
    <mergeCell ref="K26:R26"/>
    <mergeCell ref="K9:L9"/>
    <mergeCell ref="M9:N9"/>
    <mergeCell ref="O9:P9"/>
    <mergeCell ref="Q9:R9"/>
    <mergeCell ref="S9:T9"/>
    <mergeCell ref="U9:V9"/>
    <mergeCell ref="W9:X9"/>
    <mergeCell ref="Y9:Z9"/>
    <mergeCell ref="AA9:AB9"/>
    <mergeCell ref="S17:BJ17"/>
    <mergeCell ref="S11:BJ11"/>
    <mergeCell ref="B32:H32"/>
    <mergeCell ref="B34:H34"/>
    <mergeCell ref="K34:R34"/>
    <mergeCell ref="B11:H11"/>
    <mergeCell ref="K11:R11"/>
    <mergeCell ref="B17:H17"/>
    <mergeCell ref="K17:R17"/>
    <mergeCell ref="B23:H23"/>
    <mergeCell ref="K23:R23"/>
    <mergeCell ref="B83:H83"/>
    <mergeCell ref="K83:R83"/>
    <mergeCell ref="B85:H85"/>
    <mergeCell ref="K85:R85"/>
    <mergeCell ref="B89:H89"/>
    <mergeCell ref="K89:R89"/>
    <mergeCell ref="B65:H65"/>
    <mergeCell ref="K65:R65"/>
    <mergeCell ref="U43:W43"/>
    <mergeCell ref="U44:W44"/>
    <mergeCell ref="U45:W45"/>
    <mergeCell ref="B46:H46"/>
    <mergeCell ref="K46:R46"/>
    <mergeCell ref="U46:W46"/>
    <mergeCell ref="B57:H57"/>
    <mergeCell ref="K57:R57"/>
    <mergeCell ref="B60:H60"/>
    <mergeCell ref="B64:H64"/>
    <mergeCell ref="K64:R64"/>
    <mergeCell ref="B78:H78"/>
    <mergeCell ref="K78:R78"/>
    <mergeCell ref="B81:H81"/>
    <mergeCell ref="K81:R81"/>
    <mergeCell ref="B51:H51"/>
    <mergeCell ref="K51:R51"/>
    <mergeCell ref="V51:W51"/>
    <mergeCell ref="V57:W57"/>
    <mergeCell ref="V58:W58"/>
    <mergeCell ref="V59:W59"/>
    <mergeCell ref="V60:W60"/>
    <mergeCell ref="V61:W61"/>
    <mergeCell ref="V52:W52"/>
    <mergeCell ref="V53:W53"/>
    <mergeCell ref="V54:W54"/>
    <mergeCell ref="V55:W55"/>
    <mergeCell ref="V56:W56"/>
    <mergeCell ref="K60:R60"/>
    <mergeCell ref="AD39:AD42"/>
    <mergeCell ref="V72:W72"/>
    <mergeCell ref="V73:W73"/>
    <mergeCell ref="V67:W67"/>
    <mergeCell ref="V68:W68"/>
    <mergeCell ref="V69:W69"/>
    <mergeCell ref="V70:W70"/>
    <mergeCell ref="V71:W71"/>
    <mergeCell ref="V62:W62"/>
    <mergeCell ref="V63:W63"/>
    <mergeCell ref="V64:W64"/>
    <mergeCell ref="V65:W65"/>
    <mergeCell ref="V66:W66"/>
    <mergeCell ref="U47:W47"/>
    <mergeCell ref="U48:W48"/>
    <mergeCell ref="U49:W49"/>
    <mergeCell ref="U39:AA40"/>
    <mergeCell ref="AB39:AB42"/>
    <mergeCell ref="AC39:AC42"/>
    <mergeCell ref="U41:W42"/>
    <mergeCell ref="X41:Y41"/>
    <mergeCell ref="Z41:AA41"/>
  </mergeCells>
  <dataValidations count="1">
    <dataValidation type="decimal" allowBlank="1" showInputMessage="1" showErrorMessage="1" sqref="B12:H16 B18:H22 B24:H25 B27:H29 B33:H33 B35:H45 B47:H50 B52:H56 B58:H59 B61:H63 B66:H77 B79:H80 B82:H82 B84:H84 B86:H88 B90:H94" xr:uid="{00000000-0002-0000-0100-000000000000}">
      <formula1>0</formula1>
      <formula2>1</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40"/>
  <dimension ref="C2:Q24"/>
  <sheetViews>
    <sheetView showGridLines="0" showRowColHeaders="0" topLeftCell="D1" zoomScaleNormal="100" workbookViewId="0">
      <pane ySplit="5" topLeftCell="A11" activePane="bottomLeft" state="frozen"/>
      <selection activeCell="C17" sqref="C17:H17"/>
      <selection pane="bottomLeft" activeCell="C17" sqref="C17:H17"/>
    </sheetView>
  </sheetViews>
  <sheetFormatPr baseColWidth="10" defaultColWidth="9.140625" defaultRowHeight="12.75"/>
  <cols>
    <col min="1" max="1" width="3.28515625" customWidth="1"/>
    <col min="2" max="2" width="3.42578125" customWidth="1"/>
    <col min="3" max="3" width="8.42578125" customWidth="1"/>
    <col min="4" max="4" width="38.85546875" customWidth="1"/>
    <col min="5" max="8" width="10.42578125" customWidth="1"/>
    <col min="9" max="11" width="8.42578125" customWidth="1"/>
    <col min="12" max="12" width="13.85546875" customWidth="1"/>
    <col min="13" max="13" width="15.140625" customWidth="1"/>
    <col min="14" max="14" width="13.85546875" customWidth="1"/>
    <col min="15" max="15" width="16.7109375" customWidth="1"/>
    <col min="16" max="16" width="11.85546875" customWidth="1"/>
    <col min="17" max="17" width="13.5703125" bestFit="1" customWidth="1"/>
    <col min="18" max="1025" width="8.42578125" customWidth="1"/>
  </cols>
  <sheetData>
    <row r="2" spans="3:17" ht="13.5" thickBot="1"/>
    <row r="3" spans="3:17" ht="13.5" thickBot="1">
      <c r="L3" s="15" t="s">
        <v>129</v>
      </c>
      <c r="M3" s="420">
        <f>trm</f>
        <v>4385.1487096774199</v>
      </c>
    </row>
    <row r="4" spans="3:17" ht="13.5" thickBot="1"/>
    <row r="5" spans="3:17" ht="43.35" customHeight="1" thickBot="1">
      <c r="C5" s="805" t="s">
        <v>967</v>
      </c>
      <c r="D5" s="805"/>
      <c r="E5" s="827" t="s">
        <v>968</v>
      </c>
      <c r="F5" s="827"/>
      <c r="G5" s="827"/>
      <c r="H5" s="827"/>
      <c r="I5" s="287" t="s">
        <v>969</v>
      </c>
      <c r="J5" s="287" t="s">
        <v>970</v>
      </c>
      <c r="K5" s="287" t="s">
        <v>715</v>
      </c>
      <c r="L5" s="287" t="s">
        <v>971</v>
      </c>
      <c r="M5" s="287" t="s">
        <v>972</v>
      </c>
      <c r="N5" s="287" t="s">
        <v>973</v>
      </c>
      <c r="O5" s="288" t="s">
        <v>974</v>
      </c>
      <c r="P5" s="502" t="s">
        <v>1022</v>
      </c>
      <c r="Q5" s="644" t="s">
        <v>976</v>
      </c>
    </row>
    <row r="6" spans="3:17" ht="8.1" customHeight="1" thickBot="1"/>
    <row r="7" spans="3:17" ht="15.75" thickBot="1">
      <c r="C7" s="289">
        <v>3.5</v>
      </c>
      <c r="D7" s="828" t="s">
        <v>1174</v>
      </c>
      <c r="E7" s="828"/>
      <c r="F7" s="828"/>
    </row>
    <row r="8" spans="3:17" ht="14.25" customHeight="1" thickBot="1">
      <c r="C8" s="814" t="s">
        <v>539</v>
      </c>
      <c r="D8" s="823" t="s">
        <v>1175</v>
      </c>
      <c r="E8" s="824" t="s">
        <v>1176</v>
      </c>
      <c r="F8" s="824"/>
      <c r="G8" s="824"/>
      <c r="H8" s="824"/>
      <c r="I8" s="205">
        <v>3</v>
      </c>
      <c r="J8" s="205">
        <v>1</v>
      </c>
      <c r="K8" s="205" t="s">
        <v>980</v>
      </c>
      <c r="L8" s="290">
        <f>M8/$M$3</f>
        <v>128045.36983553873</v>
      </c>
      <c r="M8" s="291">
        <f>Q8*P8</f>
        <v>561497988.31448066</v>
      </c>
      <c r="N8" s="292">
        <f>L8*J8*I8</f>
        <v>384136.10950661619</v>
      </c>
      <c r="O8" s="509">
        <f>M8*J8*I8</f>
        <v>1684493964.9434419</v>
      </c>
      <c r="P8" s="506">
        <f>0.65*ipc/ipc_base+0.35*fac_mano_obra*trm/trm_base</f>
        <v>1</v>
      </c>
      <c r="Q8" s="641">
        <v>561497988.31448066</v>
      </c>
    </row>
    <row r="9" spans="3:17" ht="14.25" customHeight="1" thickBot="1">
      <c r="C9" s="814"/>
      <c r="D9" s="823"/>
      <c r="E9" s="825" t="s">
        <v>1177</v>
      </c>
      <c r="F9" s="825"/>
      <c r="G9" s="825"/>
      <c r="H9" s="825"/>
      <c r="I9" s="213">
        <v>3</v>
      </c>
      <c r="J9" s="213">
        <v>1</v>
      </c>
      <c r="K9" s="213" t="s">
        <v>980</v>
      </c>
      <c r="L9" s="259">
        <f>M9/$M$3</f>
        <v>128045.36983553873</v>
      </c>
      <c r="M9" s="262">
        <f t="shared" ref="M9:M12" si="0">Q9*P9</f>
        <v>561497988.31448066</v>
      </c>
      <c r="N9" s="293">
        <f>L9*J9*I9</f>
        <v>384136.10950661619</v>
      </c>
      <c r="O9" s="510">
        <f>M9*J9*I9</f>
        <v>1684493964.9434419</v>
      </c>
      <c r="P9" s="507">
        <f>0.65*ipc/ipc_base+0.35*fac_mano_obra*trm/trm_base</f>
        <v>1</v>
      </c>
      <c r="Q9" s="642">
        <v>561497988.31448066</v>
      </c>
    </row>
    <row r="10" spans="3:17" ht="14.25" customHeight="1" thickBot="1">
      <c r="C10" s="814"/>
      <c r="D10" s="823"/>
      <c r="E10" s="825" t="s">
        <v>1178</v>
      </c>
      <c r="F10" s="825"/>
      <c r="G10" s="825"/>
      <c r="H10" s="825"/>
      <c r="I10" s="213">
        <v>3</v>
      </c>
      <c r="J10" s="213">
        <v>1</v>
      </c>
      <c r="K10" s="213" t="s">
        <v>980</v>
      </c>
      <c r="L10" s="259">
        <f>M10/$M$3</f>
        <v>106704.47486294876</v>
      </c>
      <c r="M10" s="262">
        <f t="shared" si="0"/>
        <v>467914990.26206642</v>
      </c>
      <c r="N10" s="293">
        <f>L10*J10*I10</f>
        <v>320113.42458884628</v>
      </c>
      <c r="O10" s="510">
        <f>M10*J10*I10</f>
        <v>1403744970.7861993</v>
      </c>
      <c r="P10" s="507">
        <f>0.65*ipc/ipc_base+0.35*fac_mano_obra*trm/trm_base</f>
        <v>1</v>
      </c>
      <c r="Q10" s="642">
        <v>467914990.26206642</v>
      </c>
    </row>
    <row r="11" spans="3:17" ht="14.25" customHeight="1" thickBot="1">
      <c r="C11" s="814"/>
      <c r="D11" s="823"/>
      <c r="E11" s="825" t="s">
        <v>1179</v>
      </c>
      <c r="F11" s="825"/>
      <c r="G11" s="825"/>
      <c r="H11" s="825"/>
      <c r="I11" s="213">
        <v>3</v>
      </c>
      <c r="J11" s="213">
        <v>1</v>
      </c>
      <c r="K11" s="213" t="s">
        <v>980</v>
      </c>
      <c r="L11" s="259">
        <f>M11/$M$3</f>
        <v>42681.789945179669</v>
      </c>
      <c r="M11" s="262">
        <f t="shared" si="0"/>
        <v>187165996.10482731</v>
      </c>
      <c r="N11" s="293">
        <f>L11*J11*I11</f>
        <v>128045.36983553901</v>
      </c>
      <c r="O11" s="510">
        <f>M11*J11*I11</f>
        <v>561497988.31448197</v>
      </c>
      <c r="P11" s="507">
        <f>0.65*ipc/ipc_base+0.35*fac_mano_obra*trm/trm_base</f>
        <v>1</v>
      </c>
      <c r="Q11" s="642">
        <v>187165996.10482731</v>
      </c>
    </row>
    <row r="12" spans="3:17" ht="14.85" customHeight="1" thickBot="1">
      <c r="C12" s="814"/>
      <c r="D12" s="823"/>
      <c r="E12" s="826" t="s">
        <v>1180</v>
      </c>
      <c r="F12" s="826"/>
      <c r="G12" s="826"/>
      <c r="H12" s="826"/>
      <c r="I12" s="222">
        <v>3</v>
      </c>
      <c r="J12" s="222">
        <v>1</v>
      </c>
      <c r="K12" s="222" t="s">
        <v>980</v>
      </c>
      <c r="L12" s="294">
        <f>M12/$M$3</f>
        <v>21340.89497258978</v>
      </c>
      <c r="M12" s="295">
        <f t="shared" si="0"/>
        <v>93582998.052413404</v>
      </c>
      <c r="N12" s="296">
        <f>L12*J12*I12</f>
        <v>64022.684917769337</v>
      </c>
      <c r="O12" s="511">
        <f>M12*J12*I12</f>
        <v>280748994.15724021</v>
      </c>
      <c r="P12" s="508">
        <f>0.65*ipc/ipc_base+0.35*fac_mano_obra*trm/trm_base</f>
        <v>1</v>
      </c>
      <c r="Q12" s="643">
        <v>93582998.052413404</v>
      </c>
    </row>
    <row r="13" spans="3:17" ht="13.5" thickBot="1">
      <c r="E13" s="91"/>
      <c r="F13" s="91"/>
      <c r="G13" s="91"/>
      <c r="H13" s="91"/>
      <c r="I13" s="91"/>
      <c r="J13" s="91"/>
      <c r="K13" s="91"/>
    </row>
    <row r="14" spans="3:17" ht="15">
      <c r="I14" s="822" t="s">
        <v>1181</v>
      </c>
      <c r="J14" s="822"/>
      <c r="K14" s="822"/>
      <c r="L14" s="822"/>
      <c r="M14" s="822"/>
      <c r="N14" s="297">
        <f>SUM(N8:N12)</f>
        <v>1280453.6983553872</v>
      </c>
      <c r="O14" s="297">
        <f>SUM(O8:O12)</f>
        <v>5614979883.144805</v>
      </c>
    </row>
    <row r="16" spans="3:17" ht="14.25" customHeight="1" thickBot="1">
      <c r="C16" s="814" t="s">
        <v>541</v>
      </c>
      <c r="D16" s="823" t="s">
        <v>1182</v>
      </c>
      <c r="E16" s="824" t="s">
        <v>1176</v>
      </c>
      <c r="F16" s="824"/>
      <c r="G16" s="824"/>
      <c r="H16" s="824"/>
      <c r="I16" s="205">
        <v>3</v>
      </c>
      <c r="J16" s="205">
        <v>1</v>
      </c>
      <c r="K16" s="205" t="s">
        <v>980</v>
      </c>
      <c r="L16" s="298">
        <f>M16/$M$3</f>
        <v>42254.97204572778</v>
      </c>
      <c r="M16" s="290">
        <f>M8*0.33</f>
        <v>185294336.14377862</v>
      </c>
      <c r="N16" s="299">
        <f>L16*J16*I16</f>
        <v>126764.91613718335</v>
      </c>
      <c r="O16" s="300">
        <f>M16*J16*I16</f>
        <v>555883008.43133593</v>
      </c>
    </row>
    <row r="17" spans="3:15" ht="14.25" customHeight="1" thickBot="1">
      <c r="C17" s="814"/>
      <c r="D17" s="823"/>
      <c r="E17" s="825" t="s">
        <v>1177</v>
      </c>
      <c r="F17" s="825"/>
      <c r="G17" s="825"/>
      <c r="H17" s="825"/>
      <c r="I17" s="213">
        <v>3</v>
      </c>
      <c r="J17" s="213">
        <v>1</v>
      </c>
      <c r="K17" s="213" t="s">
        <v>980</v>
      </c>
      <c r="L17" s="301">
        <f>M17/$M$3</f>
        <v>42254.97204572778</v>
      </c>
      <c r="M17" s="259">
        <f>M9*0.33</f>
        <v>185294336.14377862</v>
      </c>
      <c r="N17" s="302">
        <f>L17*J17*I17</f>
        <v>126764.91613718335</v>
      </c>
      <c r="O17" s="303">
        <f>M17*J17*I17</f>
        <v>555883008.43133593</v>
      </c>
    </row>
    <row r="18" spans="3:15" ht="14.25" customHeight="1" thickBot="1">
      <c r="C18" s="814"/>
      <c r="D18" s="823"/>
      <c r="E18" s="825" t="s">
        <v>1178</v>
      </c>
      <c r="F18" s="825"/>
      <c r="G18" s="825"/>
      <c r="H18" s="825"/>
      <c r="I18" s="213">
        <v>3</v>
      </c>
      <c r="J18" s="213">
        <v>1</v>
      </c>
      <c r="K18" s="213" t="s">
        <v>980</v>
      </c>
      <c r="L18" s="301">
        <f>M18/$M$3</f>
        <v>35212.476704773086</v>
      </c>
      <c r="M18" s="259">
        <f>M10*0.33</f>
        <v>154411946.78648192</v>
      </c>
      <c r="N18" s="302">
        <f>L18*J18*I18</f>
        <v>105637.43011431926</v>
      </c>
      <c r="O18" s="303">
        <f>M18*J18*I18</f>
        <v>463235840.35944575</v>
      </c>
    </row>
    <row r="19" spans="3:15" ht="14.25" customHeight="1" thickBot="1">
      <c r="C19" s="814"/>
      <c r="D19" s="823"/>
      <c r="E19" s="825" t="s">
        <v>1179</v>
      </c>
      <c r="F19" s="825"/>
      <c r="G19" s="825"/>
      <c r="H19" s="825"/>
      <c r="I19" s="213">
        <v>3</v>
      </c>
      <c r="J19" s="213">
        <v>1</v>
      </c>
      <c r="K19" s="213" t="s">
        <v>980</v>
      </c>
      <c r="L19" s="301">
        <f>M19/$M$3</f>
        <v>14084.990681909292</v>
      </c>
      <c r="M19" s="259">
        <f>M11*0.33</f>
        <v>61764778.714593016</v>
      </c>
      <c r="N19" s="302">
        <f>L19*J19*I19</f>
        <v>42254.972045727875</v>
      </c>
      <c r="O19" s="303">
        <f>M19*J19*I19</f>
        <v>185294336.14377904</v>
      </c>
    </row>
    <row r="20" spans="3:15" ht="14.85" customHeight="1" thickBot="1">
      <c r="C20" s="814"/>
      <c r="D20" s="823"/>
      <c r="E20" s="826" t="s">
        <v>1180</v>
      </c>
      <c r="F20" s="826"/>
      <c r="G20" s="826"/>
      <c r="H20" s="826"/>
      <c r="I20" s="222">
        <v>3</v>
      </c>
      <c r="J20" s="222">
        <v>1</v>
      </c>
      <c r="K20" s="222" t="s">
        <v>980</v>
      </c>
      <c r="L20" s="304">
        <f>M20/$M$3</f>
        <v>7042.4953409546279</v>
      </c>
      <c r="M20" s="294">
        <f>M12*0.33</f>
        <v>30882389.357296426</v>
      </c>
      <c r="N20" s="305">
        <f>L20*J20*I20</f>
        <v>21127.486022863883</v>
      </c>
      <c r="O20" s="306">
        <f>M20*J20*I20</f>
        <v>92647168.071889281</v>
      </c>
    </row>
    <row r="22" spans="3:15" ht="15">
      <c r="I22" s="822" t="s">
        <v>1183</v>
      </c>
      <c r="J22" s="822"/>
      <c r="K22" s="822"/>
      <c r="L22" s="822"/>
      <c r="M22" s="822"/>
      <c r="N22" s="297">
        <f>SUM(N16:N20)</f>
        <v>422549.72045727773</v>
      </c>
      <c r="O22" s="297">
        <f>SUM(O16:O20)</f>
        <v>1852943361.4377861</v>
      </c>
    </row>
    <row r="24" spans="3:15" ht="15">
      <c r="H24" s="257"/>
      <c r="I24" s="822" t="s">
        <v>1184</v>
      </c>
      <c r="J24" s="822"/>
      <c r="K24" s="822"/>
      <c r="L24" s="822"/>
      <c r="M24" s="822"/>
      <c r="N24" s="297">
        <f>N14+N22</f>
        <v>1703003.4188126649</v>
      </c>
      <c r="O24" s="297">
        <f>O14+O22</f>
        <v>7467923244.5825911</v>
      </c>
    </row>
  </sheetData>
  <sheetProtection algorithmName="SHA-512" hashValue="uWrNVR7PhUTdVKqWGbp7A+qHRtLDBpFA2p0x1uXKA6ULe9CG6PCfEP1mkremiHjpnU+gItTNWoo3M8Ndh9O8Kg==" saltValue="Cz3hBQ9DBcsFXM8dqScmFg==" spinCount="100000"/>
  <mergeCells count="20">
    <mergeCell ref="C5:D5"/>
    <mergeCell ref="E5:H5"/>
    <mergeCell ref="D7:F7"/>
    <mergeCell ref="C8:C12"/>
    <mergeCell ref="D8:D12"/>
    <mergeCell ref="E8:H8"/>
    <mergeCell ref="E9:H9"/>
    <mergeCell ref="E10:H10"/>
    <mergeCell ref="E11:H11"/>
    <mergeCell ref="E12:H12"/>
    <mergeCell ref="I22:M22"/>
    <mergeCell ref="I24:M24"/>
    <mergeCell ref="I14:M14"/>
    <mergeCell ref="C16:C20"/>
    <mergeCell ref="D16:D20"/>
    <mergeCell ref="E16:H16"/>
    <mergeCell ref="E17:H17"/>
    <mergeCell ref="E18:H18"/>
    <mergeCell ref="E19:H19"/>
    <mergeCell ref="E20:H20"/>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41">
    <tabColor rgb="FFFF8C00"/>
  </sheetPr>
  <dimension ref="C2:U41"/>
  <sheetViews>
    <sheetView showGridLines="0" showRowColHeaders="0" zoomScaleNormal="100" workbookViewId="0">
      <pane ySplit="8" topLeftCell="A9" activePane="bottomLeft" state="frozen"/>
      <selection activeCell="C17" sqref="C17:H17"/>
      <selection pane="bottomLeft" activeCell="C17" sqref="C17:H17"/>
    </sheetView>
  </sheetViews>
  <sheetFormatPr baseColWidth="10" defaultColWidth="9.140625" defaultRowHeight="12.75"/>
  <cols>
    <col min="1" max="1" width="3.85546875" customWidth="1"/>
    <col min="2" max="2" width="4.28515625" customWidth="1"/>
    <col min="3" max="3" width="25.7109375" customWidth="1"/>
    <col min="4" max="4" width="16.7109375" customWidth="1"/>
    <col min="5" max="5" width="15.28515625" customWidth="1"/>
    <col min="6" max="7" width="15.42578125" customWidth="1"/>
    <col min="8" max="8" width="15.140625" customWidth="1"/>
    <col min="9" max="9" width="13.28515625" customWidth="1"/>
    <col min="10" max="10" width="12.28515625" customWidth="1"/>
    <col min="11" max="11" width="10.85546875" customWidth="1"/>
    <col min="12" max="12" width="14.42578125" customWidth="1"/>
    <col min="13" max="13" width="15.7109375" customWidth="1"/>
    <col min="14" max="14" width="13.42578125" customWidth="1"/>
    <col min="15" max="15" width="21.140625" customWidth="1"/>
    <col min="16" max="16" width="12.85546875" customWidth="1"/>
    <col min="17" max="17" width="11.7109375" customWidth="1"/>
    <col min="18" max="1025" width="8.42578125" customWidth="1"/>
  </cols>
  <sheetData>
    <row r="2" spans="3:21" ht="13.5" thickBot="1"/>
    <row r="3" spans="3:21" ht="13.5" thickBot="1">
      <c r="C3" s="121"/>
      <c r="D3" s="307"/>
      <c r="E3" s="307"/>
      <c r="F3" s="307"/>
      <c r="G3" s="307"/>
      <c r="H3" s="307"/>
      <c r="I3" s="307"/>
      <c r="J3" s="307"/>
      <c r="K3" s="307"/>
      <c r="L3" s="308" t="s">
        <v>129</v>
      </c>
      <c r="M3" s="309">
        <f>trm</f>
        <v>4385.1487096774199</v>
      </c>
    </row>
    <row r="5" spans="3:21" ht="31.35" customHeight="1">
      <c r="C5" s="685" t="s">
        <v>1185</v>
      </c>
      <c r="D5" s="685"/>
      <c r="E5" s="685"/>
      <c r="F5" s="685"/>
      <c r="G5" s="685"/>
      <c r="H5" s="685"/>
      <c r="I5" s="685"/>
      <c r="J5" s="685"/>
      <c r="K5" s="685"/>
      <c r="L5" s="685"/>
      <c r="M5" s="685"/>
      <c r="N5" s="685"/>
      <c r="O5" s="685"/>
    </row>
    <row r="7" spans="3:21" ht="30" customHeight="1" thickBot="1">
      <c r="C7" s="686" t="s">
        <v>1186</v>
      </c>
      <c r="D7" s="686"/>
      <c r="I7" s="307"/>
      <c r="J7" s="307"/>
    </row>
    <row r="8" spans="3:21" ht="36.75" customHeight="1" thickBot="1">
      <c r="C8" s="687" t="s">
        <v>1025</v>
      </c>
      <c r="D8" s="687"/>
      <c r="E8" s="688" t="s">
        <v>968</v>
      </c>
      <c r="F8" s="688"/>
      <c r="G8" s="688"/>
      <c r="H8" s="688"/>
      <c r="I8" s="196" t="s">
        <v>969</v>
      </c>
      <c r="J8" s="196" t="s">
        <v>970</v>
      </c>
      <c r="K8" s="196" t="s">
        <v>715</v>
      </c>
      <c r="L8" s="196" t="s">
        <v>971</v>
      </c>
      <c r="M8" s="196" t="s">
        <v>972</v>
      </c>
      <c r="N8" s="196" t="s">
        <v>973</v>
      </c>
      <c r="O8" s="197" t="s">
        <v>974</v>
      </c>
      <c r="P8" s="502" t="s">
        <v>1022</v>
      </c>
      <c r="Q8" s="633" t="s">
        <v>1187</v>
      </c>
    </row>
    <row r="9" spans="3:21" ht="18.75" customHeight="1" thickBot="1">
      <c r="C9" s="310"/>
      <c r="D9" s="311"/>
      <c r="E9" s="312"/>
      <c r="F9" s="312"/>
      <c r="G9" s="312"/>
      <c r="H9" s="312"/>
      <c r="I9" s="313"/>
      <c r="J9" s="313"/>
      <c r="K9" s="313"/>
      <c r="L9" s="313"/>
      <c r="M9" s="313"/>
      <c r="N9" s="313"/>
      <c r="O9" s="314"/>
    </row>
    <row r="10" spans="3:21" ht="33" customHeight="1" thickBot="1">
      <c r="C10" s="684" t="s">
        <v>1188</v>
      </c>
      <c r="D10" s="684"/>
      <c r="E10" s="312"/>
      <c r="F10" s="312"/>
      <c r="G10" s="312"/>
      <c r="H10" s="312"/>
      <c r="I10" s="313"/>
      <c r="J10" s="313"/>
      <c r="K10" s="313"/>
      <c r="L10" s="313"/>
      <c r="M10" s="313"/>
      <c r="N10" s="313"/>
      <c r="O10" s="314"/>
    </row>
    <row r="11" spans="3:21" ht="75.75" customHeight="1">
      <c r="C11" s="679" t="s">
        <v>1189</v>
      </c>
      <c r="D11" s="679"/>
      <c r="E11" s="680" t="s">
        <v>1190</v>
      </c>
      <c r="F11" s="680"/>
      <c r="G11" s="680"/>
      <c r="H11" s="680"/>
      <c r="I11" s="205">
        <v>1</v>
      </c>
      <c r="J11" s="235">
        <v>270</v>
      </c>
      <c r="K11" s="205" t="s">
        <v>1191</v>
      </c>
      <c r="L11" s="206">
        <f>M11/$M$3</f>
        <v>346.81610144603457</v>
      </c>
      <c r="M11" s="415">
        <f>Q11*P11</f>
        <v>1520840.1797514316</v>
      </c>
      <c r="N11" s="206">
        <f>L11*J11*I11</f>
        <v>93640.347390429335</v>
      </c>
      <c r="O11" s="208">
        <f>M11*J11*I11</f>
        <v>410626848.53288651</v>
      </c>
      <c r="P11" s="640">
        <f>0.65*ipc/ipc_base+0.35*fac_mano_obra*trm/trm_base</f>
        <v>1</v>
      </c>
      <c r="Q11" s="635">
        <v>1520840.1797514316</v>
      </c>
    </row>
    <row r="12" spans="3:21" ht="68.25" customHeight="1" thickBot="1">
      <c r="C12" s="683" t="s">
        <v>1192</v>
      </c>
      <c r="D12" s="683"/>
      <c r="E12" s="673" t="s">
        <v>1193</v>
      </c>
      <c r="F12" s="673"/>
      <c r="G12" s="673"/>
      <c r="H12" s="673"/>
      <c r="I12" s="222">
        <v>1</v>
      </c>
      <c r="J12" s="245">
        <f>90000*0.5</f>
        <v>45000</v>
      </c>
      <c r="K12" s="222" t="s">
        <v>1194</v>
      </c>
      <c r="L12" s="223">
        <f>M12/$M$3</f>
        <v>6.2930340988191755</v>
      </c>
      <c r="M12" s="416">
        <f>Q12*P12</f>
        <v>27595.890358392913</v>
      </c>
      <c r="N12" s="223">
        <f>L12*J12*I12</f>
        <v>283186.53444686288</v>
      </c>
      <c r="O12" s="225">
        <f>M12*J12*I12</f>
        <v>1241815066.127681</v>
      </c>
      <c r="P12" s="595">
        <f>0.65*ipc/ipc_base+0.35*fac_mano_obra*trm/trm_base</f>
        <v>1</v>
      </c>
      <c r="Q12" s="636">
        <v>27595.890358392913</v>
      </c>
      <c r="U12" s="414"/>
    </row>
    <row r="13" spans="3:21" ht="13.5" thickBot="1">
      <c r="Q13" s="634"/>
    </row>
    <row r="14" spans="3:21" ht="30" customHeight="1" thickBot="1">
      <c r="C14" s="684" t="s">
        <v>1195</v>
      </c>
      <c r="D14" s="684"/>
      <c r="Q14" s="634"/>
    </row>
    <row r="15" spans="3:21" ht="42" customHeight="1">
      <c r="C15" s="679" t="s">
        <v>1196</v>
      </c>
      <c r="D15" s="679"/>
      <c r="E15" s="680" t="s">
        <v>1197</v>
      </c>
      <c r="F15" s="680"/>
      <c r="G15" s="680"/>
      <c r="H15" s="680"/>
      <c r="I15" s="205">
        <v>1</v>
      </c>
      <c r="J15" s="204">
        <f>F38</f>
        <v>890.8</v>
      </c>
      <c r="K15" s="205" t="s">
        <v>1194</v>
      </c>
      <c r="L15" s="206">
        <f>M15/$M$3</f>
        <v>20.277554318417344</v>
      </c>
      <c r="M15" s="469">
        <f t="shared" ref="M15:M18" si="0">Q15*P15</f>
        <v>88920.09115482161</v>
      </c>
      <c r="N15" s="206">
        <f>L15*J15*I15</f>
        <v>18063.245386846171</v>
      </c>
      <c r="O15" s="503">
        <f>M15*J15*I15</f>
        <v>79210017.20071508</v>
      </c>
      <c r="P15" s="506">
        <f>0.65*ipc/ipc_base+0.35*fac_mano_obra*trm/trm_base</f>
        <v>1</v>
      </c>
      <c r="Q15" s="637">
        <v>88920.09115482161</v>
      </c>
    </row>
    <row r="16" spans="3:21" ht="40.5" customHeight="1">
      <c r="C16" s="681" t="s">
        <v>1198</v>
      </c>
      <c r="D16" s="681"/>
      <c r="E16" s="682" t="s">
        <v>1199</v>
      </c>
      <c r="F16" s="682"/>
      <c r="G16" s="682"/>
      <c r="H16" s="682"/>
      <c r="I16" s="213">
        <v>1</v>
      </c>
      <c r="J16" s="212">
        <f>G38</f>
        <v>85.88000000000001</v>
      </c>
      <c r="K16" s="213" t="s">
        <v>1194</v>
      </c>
      <c r="L16" s="214">
        <f>M16/$M$3</f>
        <v>74.117957163870287</v>
      </c>
      <c r="M16" s="470">
        <f t="shared" si="0"/>
        <v>325018.26422107208</v>
      </c>
      <c r="N16" s="214">
        <f>L16*J16*I16</f>
        <v>6365.2501612331807</v>
      </c>
      <c r="O16" s="504">
        <f>M16*J16*I16</f>
        <v>27912568.531305674</v>
      </c>
      <c r="P16" s="507">
        <f>0.65*ipc/ipc_base+0.35*fac_mano_obra*trm/trm_base</f>
        <v>1</v>
      </c>
      <c r="Q16" s="638">
        <v>325018.26422107208</v>
      </c>
    </row>
    <row r="17" spans="3:17" ht="46.35" customHeight="1">
      <c r="C17" s="681" t="s">
        <v>1200</v>
      </c>
      <c r="D17" s="681"/>
      <c r="E17" s="682" t="s">
        <v>1201</v>
      </c>
      <c r="F17" s="682"/>
      <c r="G17" s="682"/>
      <c r="H17" s="682"/>
      <c r="I17" s="213">
        <v>1</v>
      </c>
      <c r="J17" s="212">
        <f>H38</f>
        <v>1115.2</v>
      </c>
      <c r="K17" s="213" t="s">
        <v>1194</v>
      </c>
      <c r="L17" s="214">
        <f>M17/$M$3</f>
        <v>21.815851542573142</v>
      </c>
      <c r="M17" s="470">
        <f t="shared" si="0"/>
        <v>95665.753242428764</v>
      </c>
      <c r="N17" s="214">
        <f>L17*J17*I17</f>
        <v>24329.037640277569</v>
      </c>
      <c r="O17" s="504">
        <f>M17*J17*I17</f>
        <v>106686448.01595657</v>
      </c>
      <c r="P17" s="507">
        <f>0.65*ipc/ipc_base+0.35*fac_mano_obra*trm/trm_base</f>
        <v>1</v>
      </c>
      <c r="Q17" s="638">
        <v>95665.753242428764</v>
      </c>
    </row>
    <row r="18" spans="3:17" ht="67.5" customHeight="1" thickBot="1">
      <c r="C18" s="672" t="s">
        <v>1202</v>
      </c>
      <c r="D18" s="672"/>
      <c r="E18" s="673" t="s">
        <v>1203</v>
      </c>
      <c r="F18" s="673"/>
      <c r="G18" s="673"/>
      <c r="H18" s="673"/>
      <c r="I18" s="222">
        <v>1</v>
      </c>
      <c r="J18" s="221">
        <f>I38</f>
        <v>283.70999999999998</v>
      </c>
      <c r="K18" s="222" t="s">
        <v>1194</v>
      </c>
      <c r="L18" s="223">
        <f>M18/$M$3</f>
        <v>321.64396505075786</v>
      </c>
      <c r="M18" s="471">
        <f t="shared" si="0"/>
        <v>1410456.6183178599</v>
      </c>
      <c r="N18" s="223">
        <f>L18*J18*I18</f>
        <v>91253.609324550504</v>
      </c>
      <c r="O18" s="505">
        <f>M18*J18*I18</f>
        <v>400160647.18296003</v>
      </c>
      <c r="P18" s="508">
        <f>0.65*ipc/ipc_base+0.35*fac_mano_obra*trm/trm_base</f>
        <v>1</v>
      </c>
      <c r="Q18" s="639">
        <v>1410456.6183178599</v>
      </c>
    </row>
    <row r="19" spans="3:17" ht="30" customHeight="1" thickBot="1">
      <c r="C19" s="122"/>
      <c r="D19" s="122"/>
      <c r="J19" s="674" t="s">
        <v>1204</v>
      </c>
      <c r="K19" s="674"/>
      <c r="L19" s="674"/>
      <c r="M19" s="674"/>
      <c r="N19" s="396">
        <f>SUM(N11:N18)</f>
        <v>516838.02435019967</v>
      </c>
      <c r="O19" s="397">
        <f>SUM(O11:O18)</f>
        <v>2266411595.5915051</v>
      </c>
    </row>
    <row r="20" spans="3:17">
      <c r="C20" s="675" t="s">
        <v>1205</v>
      </c>
      <c r="D20" s="676" t="s">
        <v>1206</v>
      </c>
      <c r="E20" s="676"/>
      <c r="F20" s="676"/>
      <c r="G20" s="315" t="s">
        <v>1018</v>
      </c>
      <c r="H20" s="316">
        <v>0.6</v>
      </c>
    </row>
    <row r="21" spans="3:17">
      <c r="C21" s="675"/>
      <c r="D21" s="677" t="s">
        <v>1207</v>
      </c>
      <c r="E21" s="677"/>
      <c r="F21" s="677"/>
      <c r="G21" s="317" t="s">
        <v>1018</v>
      </c>
      <c r="H21" s="318">
        <v>0.8</v>
      </c>
      <c r="O21" s="392"/>
    </row>
    <row r="22" spans="3:17">
      <c r="C22" s="675"/>
      <c r="D22" s="677" t="s">
        <v>1208</v>
      </c>
      <c r="E22" s="677"/>
      <c r="F22" s="677"/>
      <c r="G22" s="317" t="s">
        <v>1018</v>
      </c>
      <c r="H22" s="318">
        <v>0.15</v>
      </c>
    </row>
    <row r="23" spans="3:17">
      <c r="C23" s="675"/>
      <c r="D23" s="677" t="s">
        <v>1209</v>
      </c>
      <c r="E23" s="677"/>
      <c r="F23" s="677"/>
      <c r="G23" s="317" t="s">
        <v>1194</v>
      </c>
      <c r="H23" s="319">
        <f>0.6*0.6*0.6</f>
        <v>0.216</v>
      </c>
    </row>
    <row r="24" spans="3:17">
      <c r="C24" s="675"/>
      <c r="D24" s="677" t="s">
        <v>1210</v>
      </c>
      <c r="E24" s="677"/>
      <c r="F24" s="677"/>
      <c r="G24" s="317" t="s">
        <v>1211</v>
      </c>
      <c r="H24" s="318">
        <v>3.87</v>
      </c>
    </row>
    <row r="25" spans="3:17">
      <c r="C25" s="675"/>
      <c r="D25" s="678" t="s">
        <v>1212</v>
      </c>
      <c r="E25" s="678"/>
      <c r="F25" s="678"/>
      <c r="G25" s="320" t="s">
        <v>1213</v>
      </c>
      <c r="H25" s="321">
        <f>6*2.25*1.2</f>
        <v>16.2</v>
      </c>
    </row>
    <row r="26" spans="3:17" ht="8.85" customHeight="1"/>
    <row r="27" spans="3:17" ht="50.25" customHeight="1">
      <c r="E27" s="322" t="s">
        <v>1214</v>
      </c>
      <c r="F27" s="323" t="s">
        <v>1215</v>
      </c>
      <c r="G27" s="323" t="s">
        <v>1216</v>
      </c>
      <c r="H27" s="323" t="s">
        <v>1217</v>
      </c>
      <c r="I27" s="197" t="s">
        <v>1218</v>
      </c>
    </row>
    <row r="28" spans="3:17" ht="15">
      <c r="C28" s="671" t="s">
        <v>1219</v>
      </c>
      <c r="D28" s="671"/>
      <c r="E28" s="324">
        <f>8*18</f>
        <v>144</v>
      </c>
      <c r="F28" s="325">
        <f t="shared" ref="F28:F35" si="1">+E28*$H$20</f>
        <v>86.399999999999991</v>
      </c>
      <c r="G28" s="326">
        <f t="shared" ref="G28:G35" si="2">+F28*10%</f>
        <v>8.6399999999999988</v>
      </c>
      <c r="H28" s="327">
        <f t="shared" ref="H28:H36" si="3">+E28*$H$21</f>
        <v>115.2</v>
      </c>
      <c r="I28" s="328">
        <f>(E28*$H$22)+(8*$H$23)</f>
        <v>23.327999999999999</v>
      </c>
    </row>
    <row r="29" spans="3:17" ht="15">
      <c r="C29" s="668" t="s">
        <v>1220</v>
      </c>
      <c r="D29" s="668"/>
      <c r="E29" s="329">
        <f>10*18</f>
        <v>180</v>
      </c>
      <c r="F29" s="330">
        <f t="shared" si="1"/>
        <v>108</v>
      </c>
      <c r="G29" s="331">
        <f t="shared" si="2"/>
        <v>10.8</v>
      </c>
      <c r="H29" s="332">
        <f t="shared" si="3"/>
        <v>144</v>
      </c>
      <c r="I29" s="333">
        <f>(E29*$H$22)+(12*$H$23)+(3*H24)</f>
        <v>41.201999999999998</v>
      </c>
    </row>
    <row r="30" spans="3:17" ht="15">
      <c r="C30" s="668" t="s">
        <v>1221</v>
      </c>
      <c r="D30" s="668"/>
      <c r="E30" s="329">
        <f>8*12</f>
        <v>96</v>
      </c>
      <c r="F30" s="330">
        <f t="shared" si="1"/>
        <v>57.599999999999994</v>
      </c>
      <c r="G30" s="331">
        <f t="shared" si="2"/>
        <v>5.76</v>
      </c>
      <c r="H30" s="332">
        <f t="shared" si="3"/>
        <v>76.800000000000011</v>
      </c>
      <c r="I30" s="333">
        <f>(E30*$H$22)+(8*$H$23)</f>
        <v>16.128</v>
      </c>
    </row>
    <row r="31" spans="3:17" ht="15">
      <c r="C31" s="668" t="s">
        <v>1222</v>
      </c>
      <c r="D31" s="668"/>
      <c r="E31" s="329">
        <f>5*10</f>
        <v>50</v>
      </c>
      <c r="F31" s="330">
        <f t="shared" si="1"/>
        <v>30</v>
      </c>
      <c r="G31" s="331">
        <f t="shared" si="2"/>
        <v>3</v>
      </c>
      <c r="H31" s="332">
        <f t="shared" si="3"/>
        <v>40</v>
      </c>
      <c r="I31" s="333">
        <f>(E31*$H$22)+(8*$H$23)</f>
        <v>9.2279999999999998</v>
      </c>
    </row>
    <row r="32" spans="3:17" ht="15">
      <c r="C32" s="668" t="s">
        <v>1223</v>
      </c>
      <c r="D32" s="668"/>
      <c r="E32" s="329">
        <f>18*36</f>
        <v>648</v>
      </c>
      <c r="F32" s="330">
        <f t="shared" si="1"/>
        <v>388.8</v>
      </c>
      <c r="G32" s="331">
        <f t="shared" si="2"/>
        <v>38.880000000000003</v>
      </c>
      <c r="H32" s="332">
        <f t="shared" si="3"/>
        <v>518.4</v>
      </c>
      <c r="I32" s="333">
        <f>(E32*$H$22)+(28*$H$23)+(3*H25)</f>
        <v>151.84800000000001</v>
      </c>
    </row>
    <row r="33" spans="3:9" ht="15">
      <c r="C33" s="668" t="s">
        <v>1224</v>
      </c>
      <c r="D33" s="668"/>
      <c r="E33" s="329">
        <f>6*15</f>
        <v>90</v>
      </c>
      <c r="F33" s="330">
        <f t="shared" si="1"/>
        <v>54</v>
      </c>
      <c r="G33" s="331">
        <f t="shared" si="2"/>
        <v>5.4</v>
      </c>
      <c r="H33" s="332">
        <f t="shared" si="3"/>
        <v>72</v>
      </c>
      <c r="I33" s="333">
        <f>(E33*$H$22)+(12*$H$23)</f>
        <v>16.091999999999999</v>
      </c>
    </row>
    <row r="34" spans="3:9" ht="15">
      <c r="C34" s="668" t="s">
        <v>1225</v>
      </c>
      <c r="D34" s="668"/>
      <c r="E34" s="329">
        <f>6*15</f>
        <v>90</v>
      </c>
      <c r="F34" s="330">
        <f t="shared" si="1"/>
        <v>54</v>
      </c>
      <c r="G34" s="331">
        <f t="shared" si="2"/>
        <v>5.4</v>
      </c>
      <c r="H34" s="332">
        <f t="shared" si="3"/>
        <v>72</v>
      </c>
      <c r="I34" s="333">
        <f>(E34*$H$22)+(0*$H$23)</f>
        <v>13.5</v>
      </c>
    </row>
    <row r="35" spans="3:9" ht="15">
      <c r="C35" s="668" t="s">
        <v>1226</v>
      </c>
      <c r="D35" s="668"/>
      <c r="E35" s="329">
        <f>8*10</f>
        <v>80</v>
      </c>
      <c r="F35" s="330">
        <f t="shared" si="1"/>
        <v>48</v>
      </c>
      <c r="G35" s="331">
        <f t="shared" si="2"/>
        <v>4.8000000000000007</v>
      </c>
      <c r="H35" s="332">
        <f t="shared" si="3"/>
        <v>64</v>
      </c>
      <c r="I35" s="333">
        <f>(E35/2*$H$22)+(12*$H$23)</f>
        <v>8.5920000000000005</v>
      </c>
    </row>
    <row r="36" spans="3:9" ht="15">
      <c r="C36" s="669" t="s">
        <v>1227</v>
      </c>
      <c r="D36" s="669"/>
      <c r="E36" s="334">
        <f>4*4</f>
        <v>16</v>
      </c>
      <c r="F36" s="335">
        <f>E36*4</f>
        <v>64</v>
      </c>
      <c r="G36" s="336">
        <f>+F36*5%</f>
        <v>3.2</v>
      </c>
      <c r="H36" s="337">
        <f t="shared" si="3"/>
        <v>12.8</v>
      </c>
      <c r="I36" s="338">
        <f>(E36/2*$H$22)+(12*$H$23)</f>
        <v>3.7919999999999998</v>
      </c>
    </row>
    <row r="37" spans="3:9" ht="15">
      <c r="C37" s="670"/>
      <c r="D37" s="670"/>
      <c r="E37" s="339"/>
      <c r="F37" s="339"/>
      <c r="G37" s="340"/>
      <c r="I37" s="341"/>
    </row>
    <row r="38" spans="3:9" ht="15">
      <c r="D38" s="667" t="s">
        <v>1228</v>
      </c>
      <c r="E38" s="667"/>
      <c r="F38" s="342">
        <f>SUM(F28:F37)</f>
        <v>890.8</v>
      </c>
      <c r="G38" s="342">
        <f>SUM(G28:G37)</f>
        <v>85.88000000000001</v>
      </c>
      <c r="H38" s="342">
        <f>SUM(H28:H37)</f>
        <v>1115.2</v>
      </c>
      <c r="I38" s="343">
        <f>SUM(I28:I37)</f>
        <v>283.70999999999998</v>
      </c>
    </row>
    <row r="39" spans="3:9" ht="15">
      <c r="E39" s="339"/>
      <c r="F39" s="339"/>
      <c r="G39" s="340"/>
      <c r="I39" s="341"/>
    </row>
    <row r="40" spans="3:9" ht="15">
      <c r="E40" s="339"/>
      <c r="F40" s="339"/>
      <c r="G40" s="340"/>
      <c r="I40" s="341"/>
    </row>
    <row r="41" spans="3:9" ht="15">
      <c r="E41" s="339"/>
      <c r="F41" s="339"/>
      <c r="G41" s="340"/>
      <c r="I41" s="341"/>
    </row>
  </sheetData>
  <sheetProtection algorithmName="SHA-512" hashValue="DEaYKezoiRl7HrKw2HAryN0D+wccqQYv91PYVXdNKYSc0NsC6xUCI7op23ayJu4IslkGLyfS1EcL0VakI0G6cg==" saltValue="HcxpdqtrhvYemxPIy9Hs5w==" spinCount="100000"/>
  <mergeCells count="37">
    <mergeCell ref="C5:O5"/>
    <mergeCell ref="C7:D7"/>
    <mergeCell ref="C8:D8"/>
    <mergeCell ref="E8:H8"/>
    <mergeCell ref="C10:D10"/>
    <mergeCell ref="C11:D11"/>
    <mergeCell ref="E11:H11"/>
    <mergeCell ref="C12:D12"/>
    <mergeCell ref="E12:H12"/>
    <mergeCell ref="C14:D14"/>
    <mergeCell ref="C15:D15"/>
    <mergeCell ref="E15:H15"/>
    <mergeCell ref="C16:D16"/>
    <mergeCell ref="E16:H16"/>
    <mergeCell ref="C17:D17"/>
    <mergeCell ref="E17:H17"/>
    <mergeCell ref="C18:D18"/>
    <mergeCell ref="E18:H18"/>
    <mergeCell ref="J19:M19"/>
    <mergeCell ref="C20:C25"/>
    <mergeCell ref="D20:F20"/>
    <mergeCell ref="D21:F21"/>
    <mergeCell ref="D22:F22"/>
    <mergeCell ref="D23:F23"/>
    <mergeCell ref="D24:F24"/>
    <mergeCell ref="D25:F25"/>
    <mergeCell ref="C28:D28"/>
    <mergeCell ref="C29:D29"/>
    <mergeCell ref="C30:D30"/>
    <mergeCell ref="C31:D31"/>
    <mergeCell ref="C32:D32"/>
    <mergeCell ref="D38:E38"/>
    <mergeCell ref="C33:D33"/>
    <mergeCell ref="C34:D34"/>
    <mergeCell ref="C35:D35"/>
    <mergeCell ref="C36:D36"/>
    <mergeCell ref="C37:D37"/>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dimension ref="B1:AE42"/>
  <sheetViews>
    <sheetView showGridLines="0" zoomScaleNormal="100" workbookViewId="0">
      <pane ySplit="3" topLeftCell="A4" activePane="bottomLeft" state="frozen"/>
      <selection activeCell="C33" sqref="C33"/>
      <selection pane="bottomLeft" activeCell="C33" sqref="C33"/>
    </sheetView>
  </sheetViews>
  <sheetFormatPr baseColWidth="10" defaultColWidth="9.140625" defaultRowHeight="12.75"/>
  <cols>
    <col min="1" max="1" width="6.85546875" customWidth="1"/>
    <col min="2" max="2" width="29.42578125" customWidth="1"/>
    <col min="3" max="3" width="80.140625" customWidth="1"/>
    <col min="4" max="4" width="23.28515625" customWidth="1"/>
    <col min="5" max="5" width="9.140625" customWidth="1"/>
    <col min="6" max="6" width="19.7109375" customWidth="1"/>
    <col min="7" max="7" width="20" customWidth="1"/>
    <col min="8" max="8" width="12.28515625" customWidth="1"/>
    <col min="9" max="9" width="15.42578125" customWidth="1"/>
    <col min="10" max="10" width="21.28515625" customWidth="1"/>
    <col min="11" max="11" width="8.7109375" customWidth="1"/>
    <col min="12" max="12" width="9.140625" customWidth="1"/>
    <col min="13" max="13" width="11.140625" customWidth="1"/>
    <col min="14" max="14" width="11" customWidth="1"/>
    <col min="15" max="15" width="9.140625" customWidth="1"/>
    <col min="16" max="16" width="14.85546875" customWidth="1"/>
    <col min="17" max="17" width="11.7109375" customWidth="1"/>
    <col min="18" max="18" width="25" customWidth="1"/>
    <col min="19" max="19" width="34" customWidth="1"/>
    <col min="20" max="20" width="12.140625" bestFit="1" customWidth="1"/>
    <col min="21" max="21" width="19.7109375" customWidth="1"/>
    <col min="22" max="22" width="19.42578125" customWidth="1"/>
    <col min="23" max="23" width="39.85546875" customWidth="1"/>
    <col min="24" max="24" width="36.28515625" customWidth="1"/>
    <col min="25" max="25" width="43.85546875" customWidth="1"/>
    <col min="26" max="26" width="43.42578125" customWidth="1"/>
    <col min="27" max="27" width="21.7109375" customWidth="1"/>
    <col min="28" max="28" width="12.140625" bestFit="1" customWidth="1"/>
    <col min="29" max="36" width="9.140625" customWidth="1"/>
    <col min="37" max="37" width="12.42578125" customWidth="1"/>
    <col min="38" max="1008" width="9.140625" customWidth="1"/>
  </cols>
  <sheetData>
    <row r="1" spans="2:31">
      <c r="T1" s="379" t="s">
        <v>551</v>
      </c>
      <c r="U1" s="379"/>
      <c r="V1" s="379"/>
      <c r="W1" s="379"/>
      <c r="X1" s="379"/>
      <c r="AA1" s="379" t="s">
        <v>552</v>
      </c>
      <c r="AB1" s="379"/>
      <c r="AC1" s="379"/>
      <c r="AD1" s="379"/>
      <c r="AE1" s="379"/>
    </row>
    <row r="2" spans="2:31" ht="38.25">
      <c r="P2" s="379" t="s">
        <v>553</v>
      </c>
      <c r="Q2" s="379"/>
      <c r="T2" s="741" t="s">
        <v>554</v>
      </c>
      <c r="U2" s="741"/>
      <c r="V2" s="380" t="s">
        <v>54</v>
      </c>
      <c r="W2" s="380" t="s">
        <v>555</v>
      </c>
      <c r="X2" s="380" t="s">
        <v>556</v>
      </c>
      <c r="AA2" s="380" t="s">
        <v>554</v>
      </c>
      <c r="AB2" s="380"/>
      <c r="AC2" s="380" t="s">
        <v>557</v>
      </c>
      <c r="AD2" s="380" t="s">
        <v>558</v>
      </c>
      <c r="AE2" s="380" t="s">
        <v>559</v>
      </c>
    </row>
    <row r="3" spans="2:31" ht="35.25" customHeight="1">
      <c r="B3" s="71" t="s">
        <v>560</v>
      </c>
      <c r="C3" s="71" t="s">
        <v>561</v>
      </c>
      <c r="D3" s="71" t="s">
        <v>562</v>
      </c>
      <c r="E3" s="72"/>
      <c r="F3" s="71" t="s">
        <v>563</v>
      </c>
      <c r="G3" s="71" t="s">
        <v>564</v>
      </c>
      <c r="H3" s="71" t="s">
        <v>565</v>
      </c>
      <c r="I3" s="71" t="s">
        <v>566</v>
      </c>
      <c r="J3" s="71" t="s">
        <v>567</v>
      </c>
      <c r="K3" s="71" t="s">
        <v>568</v>
      </c>
      <c r="M3" s="740" t="s">
        <v>569</v>
      </c>
      <c r="N3" s="740"/>
      <c r="P3" s="380" t="s">
        <v>570</v>
      </c>
      <c r="Q3" s="380" t="s">
        <v>571</v>
      </c>
      <c r="S3" s="101" t="s">
        <v>572</v>
      </c>
      <c r="T3" s="381" t="s">
        <v>573</v>
      </c>
      <c r="U3" s="381" t="s">
        <v>574</v>
      </c>
      <c r="V3" s="382">
        <v>0.1429</v>
      </c>
      <c r="W3" s="382">
        <v>0.28570000000000001</v>
      </c>
      <c r="X3" s="382">
        <v>0.57140000000000002</v>
      </c>
      <c r="Z3" s="101" t="s">
        <v>572</v>
      </c>
      <c r="AA3" s="381" t="s">
        <v>573</v>
      </c>
      <c r="AB3" s="381" t="s">
        <v>574</v>
      </c>
      <c r="AC3" s="383"/>
      <c r="AD3" s="383"/>
      <c r="AE3" s="383"/>
    </row>
    <row r="4" spans="2:31" ht="15" customHeight="1">
      <c r="B4" s="73" t="s">
        <v>575</v>
      </c>
      <c r="C4" s="74" t="s">
        <v>576</v>
      </c>
      <c r="D4" s="75">
        <v>1.48816394</v>
      </c>
      <c r="F4" s="73" t="s">
        <v>39</v>
      </c>
      <c r="G4" s="76">
        <f>'COSTA CARIBE'!$I$50</f>
        <v>1.0837499999999998</v>
      </c>
      <c r="H4" s="377">
        <f>240*ipc/Indices!K161</f>
        <v>302.06932499348449</v>
      </c>
      <c r="I4" s="77">
        <v>250</v>
      </c>
      <c r="J4" s="404">
        <f>H4*I4/trm</f>
        <v>17.22115628181885</v>
      </c>
      <c r="K4" s="78">
        <f>J4/100</f>
        <v>0.1722115628181885</v>
      </c>
      <c r="M4" s="79">
        <v>1</v>
      </c>
      <c r="N4" s="80">
        <v>0.1</v>
      </c>
      <c r="P4" s="79" t="s">
        <v>577</v>
      </c>
      <c r="Q4" s="384">
        <v>7.8E-2</v>
      </c>
      <c r="S4" s="102">
        <f>IF(AND((TotalMaterialesEquipos+TotalConstruccionMontaje)&gt;=T4,(TotalMaterialesEquipos+TotalConstruccionMontaje)&lt;U4),1,0)</f>
        <v>0</v>
      </c>
      <c r="T4" s="385">
        <v>0</v>
      </c>
      <c r="U4" s="385">
        <v>30000000</v>
      </c>
      <c r="V4" s="386">
        <f>$Q4*V$3</f>
        <v>1.11462E-2</v>
      </c>
      <c r="W4" s="386">
        <f t="shared" ref="W4:X7" si="0">$Q4*W$3</f>
        <v>2.2284600000000002E-2</v>
      </c>
      <c r="X4" s="386">
        <f t="shared" si="0"/>
        <v>4.4569200000000003E-2</v>
      </c>
      <c r="Z4" s="102">
        <f>IF(AND((TotalComisionamiento+TotalConstruccionMontaje)&gt;=AA4,(TotalComisionamiento+TotalConstruccionMontaje)&lt;AB4),1,0)</f>
        <v>0</v>
      </c>
      <c r="AA4" s="385">
        <v>0</v>
      </c>
      <c r="AB4" s="385">
        <v>30000000</v>
      </c>
      <c r="AC4" s="384">
        <v>8.2000000000000003E-2</v>
      </c>
      <c r="AD4" s="384">
        <v>0.23899999999999999</v>
      </c>
      <c r="AE4" s="386">
        <f t="shared" ref="AE4" si="1">AC4+AD4</f>
        <v>0.32100000000000001</v>
      </c>
    </row>
    <row r="5" spans="2:31" ht="15" customHeight="1">
      <c r="B5" s="81" t="s">
        <v>578</v>
      </c>
      <c r="C5" s="74" t="s">
        <v>579</v>
      </c>
      <c r="D5" s="75">
        <v>0.45359237000000002</v>
      </c>
      <c r="F5" s="73" t="s">
        <v>580</v>
      </c>
      <c r="G5" s="76">
        <f>'MAGDALENA MEDIO'!$I$50</f>
        <v>1.1337499999999998</v>
      </c>
      <c r="H5" s="377">
        <f>180*ipc/Indices!K161</f>
        <v>226.55199374511335</v>
      </c>
      <c r="I5" s="77">
        <v>650</v>
      </c>
      <c r="J5" s="404">
        <f>H5*I5/trm</f>
        <v>33.581254749546758</v>
      </c>
      <c r="K5" s="78">
        <f>J5/100</f>
        <v>0.33581254749546757</v>
      </c>
      <c r="M5" s="79">
        <v>2</v>
      </c>
      <c r="N5" s="80">
        <v>0.25</v>
      </c>
      <c r="P5" s="79" t="s">
        <v>581</v>
      </c>
      <c r="Q5" s="384">
        <v>7.2999999999999995E-2</v>
      </c>
      <c r="S5" s="102">
        <f>IF(AND((TotalMaterialesEquipos+TotalConstruccionMontaje)&gt;=T5,(TotalMaterialesEquipos+TotalConstruccionMontaje)&lt;U5),1,0)</f>
        <v>1</v>
      </c>
      <c r="T5" s="385">
        <v>30000000</v>
      </c>
      <c r="U5" s="385">
        <v>50000000</v>
      </c>
      <c r="V5" s="386">
        <f t="shared" ref="V5:V7" si="2">$Q5*V$3</f>
        <v>1.0431699999999999E-2</v>
      </c>
      <c r="W5" s="386">
        <f t="shared" si="0"/>
        <v>2.0856099999999999E-2</v>
      </c>
      <c r="X5" s="386">
        <f t="shared" si="0"/>
        <v>4.1712199999999998E-2</v>
      </c>
      <c r="Z5" s="102">
        <f>IF(AND((TotalComisionamiento+TotalConstruccionMontaje)&gt;=AA5,(TotalComisionamiento+TotalConstruccionMontaje)&lt;AB5),1,0)</f>
        <v>1</v>
      </c>
      <c r="AA5" s="385">
        <v>30000000</v>
      </c>
      <c r="AB5" s="385">
        <v>50000000</v>
      </c>
      <c r="AC5" s="384">
        <v>7.0000000000000007E-2</v>
      </c>
      <c r="AD5" s="384">
        <v>0.2</v>
      </c>
      <c r="AE5" s="386">
        <f>AC5+AD5</f>
        <v>0.27</v>
      </c>
    </row>
    <row r="6" spans="2:31" ht="15" customHeight="1">
      <c r="B6" s="81" t="s">
        <v>582</v>
      </c>
      <c r="C6" s="74" t="s">
        <v>583</v>
      </c>
      <c r="D6" s="75">
        <v>1</v>
      </c>
      <c r="F6" s="73" t="s">
        <v>584</v>
      </c>
      <c r="G6" s="76">
        <f>'CENTRO OCCIDENTE'!$I$50</f>
        <v>1.0687499999999999</v>
      </c>
      <c r="H6" s="377">
        <f>160*ipc/Indices!K161</f>
        <v>201.37954999565633</v>
      </c>
      <c r="I6" s="77">
        <v>1000</v>
      </c>
      <c r="J6" s="404">
        <f>H6*I6/trm</f>
        <v>45.923083418183602</v>
      </c>
      <c r="K6" s="78">
        <f>J6/100</f>
        <v>0.45923083418183602</v>
      </c>
      <c r="M6" s="79">
        <v>3</v>
      </c>
      <c r="N6" s="80">
        <v>0.5</v>
      </c>
      <c r="P6" s="79" t="s">
        <v>585</v>
      </c>
      <c r="Q6" s="384">
        <v>7.0000000000000007E-2</v>
      </c>
      <c r="S6" s="102">
        <f>IF(AND((TotalMaterialesEquipos+TotalConstruccionMontaje)&gt;=T6,(TotalMaterialesEquipos+TotalConstruccionMontaje)&lt;U6),1,0)</f>
        <v>0</v>
      </c>
      <c r="T6" s="385">
        <v>50000000</v>
      </c>
      <c r="U6" s="385">
        <v>100000000</v>
      </c>
      <c r="V6" s="386">
        <f t="shared" si="2"/>
        <v>1.0003000000000001E-2</v>
      </c>
      <c r="W6" s="386">
        <f t="shared" si="0"/>
        <v>1.9999000000000003E-2</v>
      </c>
      <c r="X6" s="386">
        <f t="shared" si="0"/>
        <v>3.9998000000000006E-2</v>
      </c>
      <c r="Z6" s="102">
        <f>IF(AND((TotalComisionamiento+TotalConstruccionMontaje)&gt;=AA6,(TotalComisionamiento+TotalConstruccionMontaje)&lt;AB6),1,0)</f>
        <v>0</v>
      </c>
      <c r="AA6" s="385">
        <v>50000000</v>
      </c>
      <c r="AB6" s="385">
        <v>100000000</v>
      </c>
      <c r="AC6" s="384">
        <v>6.7000000000000004E-2</v>
      </c>
      <c r="AD6" s="384">
        <v>0.185</v>
      </c>
      <c r="AE6" s="386">
        <f>AC6+AD6</f>
        <v>0.252</v>
      </c>
    </row>
    <row r="7" spans="2:31" ht="15" customHeight="1">
      <c r="B7" s="81" t="s">
        <v>390</v>
      </c>
      <c r="C7" s="74" t="s">
        <v>586</v>
      </c>
      <c r="D7" s="82">
        <v>0.1</v>
      </c>
      <c r="F7" s="73" t="s">
        <v>587</v>
      </c>
      <c r="G7" s="83">
        <f>SUR!$I$49</f>
        <v>1.1174999999999997</v>
      </c>
      <c r="H7" s="377">
        <f>160*ipc/Indices!K161</f>
        <v>201.37954999565633</v>
      </c>
      <c r="I7" s="77">
        <v>1200</v>
      </c>
      <c r="J7" s="404">
        <f>H7*I7/trm</f>
        <v>55.107700101820321</v>
      </c>
      <c r="K7" s="78">
        <f>J7/100</f>
        <v>0.55107700101820323</v>
      </c>
      <c r="M7" s="79">
        <v>4</v>
      </c>
      <c r="N7" s="80">
        <v>0.75</v>
      </c>
      <c r="P7" s="79" t="s">
        <v>588</v>
      </c>
      <c r="Q7" s="384">
        <v>5.8000000000000003E-2</v>
      </c>
      <c r="R7" s="387"/>
      <c r="S7" s="102">
        <f>IF(TotalMaterialesEquipos+TotalConstruccionMontaje&gt;=T7,1,0)</f>
        <v>0</v>
      </c>
      <c r="T7" s="385">
        <v>100000000</v>
      </c>
      <c r="U7" s="385"/>
      <c r="V7" s="386">
        <f t="shared" si="2"/>
        <v>8.2882000000000008E-3</v>
      </c>
      <c r="W7" s="386">
        <f t="shared" si="0"/>
        <v>1.6570600000000001E-2</v>
      </c>
      <c r="X7" s="386">
        <f t="shared" si="0"/>
        <v>3.3141200000000003E-2</v>
      </c>
      <c r="Z7" s="102">
        <f>IF(TotalComisionamiento+TotalConstruccionMontaje&gt;=AA7,1,0)</f>
        <v>0</v>
      </c>
      <c r="AA7" s="385">
        <v>100000000</v>
      </c>
      <c r="AB7" s="385"/>
      <c r="AC7" s="384">
        <v>5.8000000000000003E-2</v>
      </c>
      <c r="AD7" s="384">
        <v>0.157</v>
      </c>
      <c r="AE7" s="386">
        <f>AC7+AD7</f>
        <v>0.215</v>
      </c>
    </row>
    <row r="8" spans="2:31" ht="15" customHeight="1">
      <c r="B8" s="84" t="s">
        <v>589</v>
      </c>
      <c r="C8" s="74" t="s">
        <v>590</v>
      </c>
      <c r="D8" s="85">
        <f>'Modelo Caudal - PIPING'!C8</f>
        <v>0.29676545413664701</v>
      </c>
      <c r="F8" s="73" t="s">
        <v>591</v>
      </c>
      <c r="G8" s="83">
        <f>'LLANOS - NARIÑO'!$I$49</f>
        <v>1.1724999999999999</v>
      </c>
      <c r="H8" s="377">
        <f>155*ipc/Indices!K161</f>
        <v>195.08643905829206</v>
      </c>
      <c r="I8" s="77">
        <v>1100</v>
      </c>
      <c r="J8" s="404">
        <f>H8*I8/trm</f>
        <v>48.936785767501895</v>
      </c>
      <c r="K8" s="78">
        <f>J8/100</f>
        <v>0.48936785767501895</v>
      </c>
      <c r="M8" s="86">
        <v>5</v>
      </c>
      <c r="N8" s="80">
        <v>1</v>
      </c>
    </row>
    <row r="9" spans="2:31" ht="15">
      <c r="B9" s="84" t="s">
        <v>592</v>
      </c>
      <c r="C9" s="74" t="s">
        <v>593</v>
      </c>
      <c r="D9" s="75">
        <f>Indices!D19</f>
        <v>4385.1487096774199</v>
      </c>
    </row>
    <row r="10" spans="2:31" ht="15">
      <c r="B10" s="84" t="s">
        <v>594</v>
      </c>
      <c r="C10" s="74" t="s">
        <v>595</v>
      </c>
      <c r="D10" s="405">
        <f>+Indices!D20</f>
        <v>255.18600000000001</v>
      </c>
    </row>
    <row r="11" spans="2:31" ht="15">
      <c r="B11" s="84" t="s">
        <v>596</v>
      </c>
      <c r="C11" s="74" t="s">
        <v>597</v>
      </c>
      <c r="D11" s="411">
        <f>+Indices!C21</f>
        <v>144.88</v>
      </c>
      <c r="I11" s="378"/>
    </row>
    <row r="12" spans="2:31" ht="15">
      <c r="B12" s="84" t="s">
        <v>598</v>
      </c>
      <c r="C12" s="74" t="s">
        <v>599</v>
      </c>
      <c r="D12" s="411">
        <f>+Indices!C22</f>
        <v>399.88900000000001</v>
      </c>
      <c r="I12" s="378"/>
    </row>
    <row r="13" spans="2:31" ht="15">
      <c r="B13" s="84" t="s">
        <v>600</v>
      </c>
      <c r="C13" s="74" t="s">
        <v>601</v>
      </c>
      <c r="D13" s="411">
        <f>+Indices!C23</f>
        <v>177.40899999999999</v>
      </c>
      <c r="I13" s="378"/>
    </row>
    <row r="14" spans="2:31" ht="21.75" customHeight="1">
      <c r="B14" s="84" t="s">
        <v>602</v>
      </c>
      <c r="C14" s="74" t="s">
        <v>603</v>
      </c>
      <c r="D14" s="411">
        <f>+Indices!C24</f>
        <v>252.15799999999999</v>
      </c>
      <c r="I14" s="378"/>
    </row>
    <row r="15" spans="2:31" ht="17.100000000000001" customHeight="1">
      <c r="B15" s="84"/>
      <c r="C15" s="74"/>
      <c r="D15" s="75"/>
      <c r="I15" s="378"/>
    </row>
    <row r="16" spans="2:31" ht="25.5">
      <c r="B16" s="84" t="s">
        <v>604</v>
      </c>
      <c r="C16" s="74" t="s">
        <v>605</v>
      </c>
      <c r="D16" s="412">
        <f>VLOOKUP(Inicio!Q17,F4:K80,2,FALSE())</f>
        <v>1.0837499999999998</v>
      </c>
      <c r="I16" s="378">
        <f t="shared" ref="I16" si="3">+I9*H9</f>
        <v>0</v>
      </c>
    </row>
    <row r="17" spans="2:7" ht="25.5">
      <c r="B17" s="84" t="s">
        <v>606</v>
      </c>
      <c r="C17" s="74" t="s">
        <v>607</v>
      </c>
      <c r="D17" s="412">
        <f>VLOOKUP(Inicio!Q17,F4:K8,6,FALSE())</f>
        <v>0.1722115628181885</v>
      </c>
    </row>
    <row r="18" spans="2:7" ht="17.850000000000001" customHeight="1">
      <c r="B18" s="84" t="s">
        <v>392</v>
      </c>
      <c r="C18" s="74" t="s">
        <v>608</v>
      </c>
      <c r="D18" s="412">
        <f>24800*(ipc/Indices!K161)/trm</f>
        <v>7.1180779298184573</v>
      </c>
    </row>
    <row r="19" spans="2:7" ht="15">
      <c r="B19" s="84" t="s">
        <v>609</v>
      </c>
      <c r="C19" s="88" t="s">
        <v>610</v>
      </c>
      <c r="D19" s="82">
        <f>Indices!C32</f>
        <v>0.19</v>
      </c>
    </row>
    <row r="20" spans="2:7">
      <c r="B20" s="84" t="s">
        <v>611</v>
      </c>
      <c r="C20" s="74" t="s">
        <v>612</v>
      </c>
      <c r="D20" s="89">
        <f>Indices!C19</f>
        <v>4385.1487096774199</v>
      </c>
    </row>
    <row r="21" spans="2:7">
      <c r="B21" s="84" t="s">
        <v>613</v>
      </c>
      <c r="C21" s="74" t="s">
        <v>614</v>
      </c>
      <c r="D21" s="439">
        <f>Indices!C20</f>
        <v>255.18600000000001</v>
      </c>
    </row>
    <row r="22" spans="2:7">
      <c r="B22" s="84" t="s">
        <v>615</v>
      </c>
      <c r="C22" s="74" t="s">
        <v>616</v>
      </c>
      <c r="D22" s="406">
        <f>Indices!D21</f>
        <v>144.88</v>
      </c>
    </row>
    <row r="23" spans="2:7">
      <c r="B23" s="84" t="s">
        <v>617</v>
      </c>
      <c r="C23" s="74" t="s">
        <v>618</v>
      </c>
      <c r="D23" s="406">
        <f>+Indices!D22</f>
        <v>399.88900000000001</v>
      </c>
    </row>
    <row r="24" spans="2:7" ht="15">
      <c r="B24" s="90" t="s">
        <v>619</v>
      </c>
      <c r="C24" s="74" t="s">
        <v>620</v>
      </c>
      <c r="D24" s="407">
        <f>+Indices!D23</f>
        <v>177.40899999999999</v>
      </c>
    </row>
    <row r="25" spans="2:7" ht="15">
      <c r="B25" s="90" t="s">
        <v>621</v>
      </c>
      <c r="C25" s="74" t="s">
        <v>622</v>
      </c>
      <c r="D25" s="407">
        <f>+Indices!D24</f>
        <v>252.15799999999999</v>
      </c>
    </row>
    <row r="26" spans="2:7" ht="15">
      <c r="B26" s="90" t="s">
        <v>623</v>
      </c>
      <c r="C26" s="91" t="s">
        <v>624</v>
      </c>
      <c r="D26" s="92" t="str">
        <f>Inicio!Q14</f>
        <v>INICIAL CON TANQUES</v>
      </c>
    </row>
    <row r="27" spans="2:7" ht="15">
      <c r="B27" s="90" t="s">
        <v>625</v>
      </c>
      <c r="C27" s="91" t="s">
        <v>626</v>
      </c>
      <c r="D27" s="407">
        <f>+Indices!D25</f>
        <v>429.27699999999999</v>
      </c>
      <c r="F27" s="93"/>
      <c r="G27" s="93"/>
    </row>
    <row r="28" spans="2:7" ht="15">
      <c r="B28" s="90" t="s">
        <v>627</v>
      </c>
      <c r="C28" s="91" t="s">
        <v>628</v>
      </c>
      <c r="D28" s="407">
        <f>+Indices!D26</f>
        <v>432.642</v>
      </c>
      <c r="F28" s="93"/>
      <c r="G28" s="93"/>
    </row>
    <row r="29" spans="2:7" ht="15">
      <c r="B29" s="90" t="s">
        <v>629</v>
      </c>
      <c r="C29" s="91" t="s">
        <v>630</v>
      </c>
      <c r="D29" s="407">
        <f>+Indices!D27</f>
        <v>185.55799999999999</v>
      </c>
      <c r="F29" s="93"/>
      <c r="G29" s="93"/>
    </row>
    <row r="30" spans="2:7" ht="15">
      <c r="B30" s="90" t="s">
        <v>631</v>
      </c>
      <c r="C30" s="91" t="s">
        <v>632</v>
      </c>
      <c r="D30" s="407">
        <f>+Indices!D28</f>
        <v>293.71600000000001</v>
      </c>
      <c r="F30" s="93"/>
      <c r="G30" s="93"/>
    </row>
    <row r="31" spans="2:7" ht="15">
      <c r="B31" s="90" t="s">
        <v>633</v>
      </c>
      <c r="C31" s="74" t="s">
        <v>634</v>
      </c>
      <c r="D31" s="87">
        <f>+Indices!C25</f>
        <v>429.27699999999999</v>
      </c>
    </row>
    <row r="32" spans="2:7" ht="15">
      <c r="B32" s="90" t="s">
        <v>635</v>
      </c>
      <c r="C32" s="74" t="s">
        <v>636</v>
      </c>
      <c r="D32" s="87">
        <f>+Indices!C26</f>
        <v>432.642</v>
      </c>
    </row>
    <row r="33" spans="2:6" ht="15">
      <c r="B33" s="90" t="s">
        <v>637</v>
      </c>
      <c r="C33" s="74" t="s">
        <v>638</v>
      </c>
      <c r="D33" s="87">
        <f>+Indices!C27</f>
        <v>185.55799999999999</v>
      </c>
    </row>
    <row r="34" spans="2:6" ht="15">
      <c r="B34" s="90" t="s">
        <v>639</v>
      </c>
      <c r="C34" s="74" t="s">
        <v>640</v>
      </c>
      <c r="D34" s="87">
        <f>+Indices!C28</f>
        <v>293.71600000000001</v>
      </c>
    </row>
    <row r="35" spans="2:6" ht="15">
      <c r="B35" s="90" t="s">
        <v>641</v>
      </c>
      <c r="C35" s="88" t="s">
        <v>642</v>
      </c>
      <c r="D35" s="87">
        <f>+Indices!C29/Indices!D29</f>
        <v>1</v>
      </c>
    </row>
    <row r="36" spans="2:6" ht="15">
      <c r="B36" s="90" t="s">
        <v>643</v>
      </c>
      <c r="C36" s="88" t="s">
        <v>644</v>
      </c>
      <c r="D36" s="94">
        <f>Indices!C30</f>
        <v>0.1</v>
      </c>
    </row>
    <row r="37" spans="2:6" ht="15">
      <c r="B37" s="90"/>
      <c r="C37" s="88"/>
      <c r="D37" s="95"/>
    </row>
    <row r="38" spans="2:6" ht="15">
      <c r="B38" s="90"/>
      <c r="C38" s="88"/>
      <c r="D38" s="353"/>
    </row>
    <row r="39" spans="2:6">
      <c r="B39" s="90" t="s">
        <v>645</v>
      </c>
      <c r="C39" s="88" t="s">
        <v>646</v>
      </c>
      <c r="D39" s="96">
        <f>(1-Indices!F42-Indices!D30)+D42</f>
        <v>0.9</v>
      </c>
      <c r="E39" s="97"/>
    </row>
    <row r="40" spans="2:6">
      <c r="B40" s="90" t="s">
        <v>647</v>
      </c>
      <c r="C40" s="88" t="s">
        <v>648</v>
      </c>
      <c r="D40" s="96">
        <f>(1-Indices!E42-Indices!D30)+D41</f>
        <v>0.9</v>
      </c>
      <c r="E40" s="98"/>
    </row>
    <row r="41" spans="2:6" ht="15">
      <c r="B41" s="90" t="s">
        <v>649</v>
      </c>
      <c r="C41" s="88" t="s">
        <v>650</v>
      </c>
      <c r="D41" s="94">
        <f>SUM(Indices!C37:C41)</f>
        <v>4.8399999999999999E-2</v>
      </c>
      <c r="E41" s="98"/>
      <c r="F41" s="98"/>
    </row>
    <row r="42" spans="2:6" ht="15">
      <c r="B42" s="90" t="s">
        <v>651</v>
      </c>
      <c r="C42" s="88" t="s">
        <v>652</v>
      </c>
      <c r="D42" s="94">
        <f>SUM(Indices!D37:D41)</f>
        <v>0.14730000000000001</v>
      </c>
      <c r="E42" s="98"/>
      <c r="F42" s="98"/>
    </row>
  </sheetData>
  <sheetProtection algorithmName="SHA-512" hashValue="PlyuwJlwj8CwdYDr600cvxZ4YtsiIj6vykvDHjOnffa/X4ICg1GsZIh4Oru4yvqIPcWTIQDoa3plR2ZLFXSD1Q==" saltValue="mJP4cUy9W5WwCI6PUoxrGQ==" spinCount="100000" sheet="1" objects="1" scenarios="1"/>
  <mergeCells count="2">
    <mergeCell ref="M3:N3"/>
    <mergeCell ref="T2:U2"/>
  </mergeCell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B3:G20"/>
  <sheetViews>
    <sheetView showGridLines="0" showRowColHeaders="0" zoomScaleNormal="100" workbookViewId="0">
      <selection activeCell="C33" sqref="C33"/>
    </sheetView>
  </sheetViews>
  <sheetFormatPr baseColWidth="10" defaultColWidth="9.140625" defaultRowHeight="12.75"/>
  <cols>
    <col min="1" max="1" width="8.42578125" customWidth="1"/>
    <col min="2" max="2" width="15.140625" customWidth="1"/>
    <col min="3" max="3" width="14.42578125" customWidth="1"/>
    <col min="4" max="4" width="15.7109375" customWidth="1"/>
    <col min="5" max="5" width="14.85546875" customWidth="1"/>
    <col min="6" max="6" width="14.42578125" customWidth="1"/>
    <col min="7" max="7" width="15.42578125" customWidth="1"/>
    <col min="8" max="1025" width="8.42578125" customWidth="1"/>
  </cols>
  <sheetData>
    <row r="3" spans="2:7" ht="20.25" customHeight="1">
      <c r="B3" s="744" t="s">
        <v>653</v>
      </c>
      <c r="C3" s="744"/>
      <c r="D3" s="744"/>
      <c r="E3" s="744"/>
    </row>
    <row r="4" spans="2:7" ht="12.75" customHeight="1">
      <c r="B4" s="742" t="s">
        <v>654</v>
      </c>
      <c r="C4" s="747">
        <f>Inicio!Q16</f>
        <v>20</v>
      </c>
      <c r="D4" s="747"/>
      <c r="E4" s="747"/>
    </row>
    <row r="5" spans="2:7" ht="36" customHeight="1">
      <c r="B5" s="742"/>
      <c r="C5" s="747"/>
      <c r="D5" s="747"/>
      <c r="E5" s="747"/>
    </row>
    <row r="6" spans="2:7" ht="20.85" customHeight="1">
      <c r="B6" s="742" t="s">
        <v>655</v>
      </c>
      <c r="C6" s="747">
        <f>VLOOKUP(1,B15:G20,4,FALSE())</f>
        <v>6</v>
      </c>
      <c r="D6" s="747"/>
      <c r="E6" s="747"/>
    </row>
    <row r="7" spans="2:7" ht="19.5" customHeight="1">
      <c r="B7" s="742"/>
      <c r="C7" s="747"/>
      <c r="D7" s="747"/>
      <c r="E7" s="747"/>
    </row>
    <row r="8" spans="2:7" ht="12.75" customHeight="1">
      <c r="B8" s="742" t="s">
        <v>656</v>
      </c>
      <c r="C8" s="743">
        <f>VLOOKUP(1,B15:G20,6,FALSE())</f>
        <v>0.29676545413664701</v>
      </c>
      <c r="D8" s="743"/>
      <c r="E8" s="743"/>
    </row>
    <row r="9" spans="2:7" ht="37.5" customHeight="1">
      <c r="B9" s="742"/>
      <c r="C9" s="743"/>
      <c r="D9" s="743"/>
      <c r="E9" s="743"/>
    </row>
    <row r="12" spans="2:7" ht="26.25" customHeight="1">
      <c r="B12" s="744" t="s">
        <v>657</v>
      </c>
      <c r="C12" s="744"/>
      <c r="D12" s="744"/>
      <c r="E12" s="744"/>
      <c r="F12" s="744"/>
      <c r="G12" s="744"/>
    </row>
    <row r="13" spans="2:7" ht="26.25" customHeight="1">
      <c r="B13" s="745" t="s">
        <v>658</v>
      </c>
      <c r="C13" s="745"/>
      <c r="D13" s="745"/>
      <c r="E13" s="746" t="s">
        <v>659</v>
      </c>
      <c r="F13" s="746" t="s">
        <v>660</v>
      </c>
      <c r="G13" s="746" t="s">
        <v>656</v>
      </c>
    </row>
    <row r="14" spans="2:7" ht="29.85" customHeight="1">
      <c r="B14" s="101" t="s">
        <v>572</v>
      </c>
      <c r="C14" s="101" t="s">
        <v>661</v>
      </c>
      <c r="D14" s="101" t="s">
        <v>662</v>
      </c>
      <c r="E14" s="746"/>
      <c r="F14" s="746"/>
      <c r="G14" s="746"/>
    </row>
    <row r="15" spans="2:7">
      <c r="B15" s="102">
        <f t="shared" ref="B15:B20" si="0">IF(AND($C$4&gt;C15,$C$4&lt;=D15),1,0)</f>
        <v>1</v>
      </c>
      <c r="C15" s="102">
        <v>0</v>
      </c>
      <c r="D15" s="102">
        <v>50</v>
      </c>
      <c r="E15" s="102">
        <v>6</v>
      </c>
      <c r="F15" s="103">
        <v>1077.4473624104</v>
      </c>
      <c r="G15" s="104">
        <v>0.29676545413664701</v>
      </c>
    </row>
    <row r="16" spans="2:7">
      <c r="B16" s="102">
        <f t="shared" si="0"/>
        <v>0</v>
      </c>
      <c r="C16" s="102">
        <v>50</v>
      </c>
      <c r="D16" s="102">
        <v>80</v>
      </c>
      <c r="E16" s="102">
        <v>8</v>
      </c>
      <c r="F16" s="103">
        <v>1776.0927125828</v>
      </c>
      <c r="G16" s="104">
        <v>0.48919601906051902</v>
      </c>
    </row>
    <row r="17" spans="2:7">
      <c r="B17" s="102">
        <f t="shared" si="0"/>
        <v>0</v>
      </c>
      <c r="C17" s="102">
        <v>80</v>
      </c>
      <c r="D17" s="102">
        <v>120</v>
      </c>
      <c r="E17" s="102">
        <v>10</v>
      </c>
      <c r="F17" s="103">
        <v>2633.1745441130001</v>
      </c>
      <c r="G17" s="104">
        <v>0.72526535092774602</v>
      </c>
    </row>
    <row r="18" spans="2:7">
      <c r="B18" s="102">
        <f t="shared" si="0"/>
        <v>0</v>
      </c>
      <c r="C18" s="102">
        <v>120</v>
      </c>
      <c r="D18" s="102">
        <v>170</v>
      </c>
      <c r="E18" s="102">
        <v>12</v>
      </c>
      <c r="F18" s="103">
        <v>3630.6360709838</v>
      </c>
      <c r="G18" s="104">
        <f>+F18/$F$18</f>
        <v>1</v>
      </c>
    </row>
    <row r="19" spans="2:7">
      <c r="B19" s="102">
        <f t="shared" si="0"/>
        <v>0</v>
      </c>
      <c r="C19" s="102">
        <v>170</v>
      </c>
      <c r="D19" s="102">
        <v>210</v>
      </c>
      <c r="E19" s="102">
        <v>14</v>
      </c>
      <c r="F19" s="103">
        <v>4558.8610680417996</v>
      </c>
      <c r="G19" s="104">
        <f t="shared" ref="G19:G20" si="1">+F19/$F$18</f>
        <v>1.2556645664588675</v>
      </c>
    </row>
    <row r="20" spans="2:7">
      <c r="B20" s="102">
        <f t="shared" si="0"/>
        <v>0</v>
      </c>
      <c r="C20" s="102">
        <v>210</v>
      </c>
      <c r="D20" s="102">
        <v>240</v>
      </c>
      <c r="E20" s="102">
        <v>16</v>
      </c>
      <c r="F20" s="103">
        <v>5484.8621528774001</v>
      </c>
      <c r="G20" s="104">
        <f t="shared" si="1"/>
        <v>1.5107165922557357</v>
      </c>
    </row>
  </sheetData>
  <sheetProtection algorithmName="SHA-512" hashValue="cIOecZNxb0AJjUfOFzEJWsD3k4eLsBunwmyBTQxxTZWzpdkQ7kQPGp1pk4Djk7nfFoQyl0RSmzYAXymVvI0/pA==" saltValue="4nMFlEC52RKawEWKnrs2+Q==" spinCount="100000" sheet="1"/>
  <mergeCells count="12">
    <mergeCell ref="B3:E3"/>
    <mergeCell ref="B4:B5"/>
    <mergeCell ref="C4:E5"/>
    <mergeCell ref="B6:B7"/>
    <mergeCell ref="C6:E7"/>
    <mergeCell ref="B8:B9"/>
    <mergeCell ref="C8:E9"/>
    <mergeCell ref="B12:G12"/>
    <mergeCell ref="B13:D13"/>
    <mergeCell ref="E13:E14"/>
    <mergeCell ref="F13:F14"/>
    <mergeCell ref="G13:G14"/>
  </mergeCells>
  <dataValidations count="1">
    <dataValidation operator="equal" allowBlank="1" showErrorMessage="1" sqref="C4:E4 D5:E5 C6 E6 C8 E8" xr:uid="{00000000-0002-0000-0600-000000000000}">
      <formula1>0</formula1>
      <formula2>0</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dimension ref="B1:M47"/>
  <sheetViews>
    <sheetView showGridLines="0" zoomScaleNormal="100" workbookViewId="0">
      <selection activeCell="C33" sqref="C33"/>
    </sheetView>
  </sheetViews>
  <sheetFormatPr baseColWidth="10" defaultColWidth="9.140625" defaultRowHeight="12.75"/>
  <cols>
    <col min="1" max="1" width="9.140625" customWidth="1"/>
    <col min="2" max="2" width="22.42578125" customWidth="1"/>
    <col min="3" max="3" width="21.140625" customWidth="1"/>
    <col min="4" max="4" width="12.28515625" customWidth="1"/>
    <col min="5" max="5" width="24.85546875" customWidth="1"/>
    <col min="6" max="6" width="25" customWidth="1"/>
    <col min="7" max="8" width="14" customWidth="1"/>
    <col min="9" max="9" width="18.85546875" customWidth="1"/>
    <col min="10" max="10" width="22.42578125" customWidth="1"/>
    <col min="11" max="11" width="11.140625" customWidth="1"/>
    <col min="12" max="12" width="21.140625" customWidth="1"/>
    <col min="13" max="13" width="17.42578125" customWidth="1"/>
    <col min="14" max="14" width="9.140625" customWidth="1"/>
    <col min="15" max="16" width="19.28515625" customWidth="1"/>
    <col min="17" max="17" width="9.140625" customWidth="1"/>
    <col min="18" max="19" width="19.28515625" customWidth="1"/>
    <col min="20" max="1025" width="9.140625" customWidth="1"/>
  </cols>
  <sheetData>
    <row r="1" spans="2:13">
      <c r="B1" s="99" t="s">
        <v>663</v>
      </c>
    </row>
    <row r="2" spans="2:13" s="105" customFormat="1" ht="15.75">
      <c r="B2" s="750" t="s">
        <v>664</v>
      </c>
      <c r="C2" s="750"/>
      <c r="D2" s="750"/>
      <c r="E2" s="750"/>
      <c r="F2" s="750"/>
      <c r="I2" s="750" t="s">
        <v>665</v>
      </c>
      <c r="J2" s="750"/>
      <c r="K2" s="750"/>
      <c r="L2" s="750"/>
      <c r="M2" s="750"/>
    </row>
    <row r="3" spans="2:13" ht="22.5" customHeight="1">
      <c r="B3" s="742" t="s">
        <v>666</v>
      </c>
      <c r="C3" s="747">
        <f>Inicio!Q15</f>
        <v>5000</v>
      </c>
      <c r="D3" s="747"/>
      <c r="E3" s="90" t="s">
        <v>667</v>
      </c>
      <c r="F3" s="90" t="s">
        <v>668</v>
      </c>
      <c r="I3" s="742" t="s">
        <v>666</v>
      </c>
      <c r="J3" s="747">
        <f>Inicio!Q15</f>
        <v>5000</v>
      </c>
      <c r="K3" s="747"/>
      <c r="L3" s="90" t="s">
        <v>669</v>
      </c>
      <c r="M3" s="90" t="s">
        <v>670</v>
      </c>
    </row>
    <row r="4" spans="2:13" ht="28.5" customHeight="1">
      <c r="B4" s="742"/>
      <c r="C4" s="747"/>
      <c r="D4" s="747"/>
      <c r="E4" s="106">
        <f>+IF('Costo estación'!A20,0.08,0)</f>
        <v>0.08</v>
      </c>
      <c r="F4" s="106">
        <f>1-E4</f>
        <v>0.92</v>
      </c>
      <c r="I4" s="742"/>
      <c r="J4" s="747"/>
      <c r="K4" s="747"/>
      <c r="L4" s="100">
        <f>L6*(J3*E4)^L7</f>
        <v>385623.2807169538</v>
      </c>
      <c r="M4" s="100">
        <f>M6*(J3*F4)^M7</f>
        <v>2260378.9816406202</v>
      </c>
    </row>
    <row r="5" spans="2:13" ht="42.75" customHeight="1">
      <c r="B5" s="107" t="s">
        <v>671</v>
      </c>
      <c r="C5" s="84" t="s">
        <v>672</v>
      </c>
      <c r="D5" s="84" t="s">
        <v>673</v>
      </c>
      <c r="E5" s="84" t="s">
        <v>674</v>
      </c>
      <c r="F5" s="84" t="s">
        <v>675</v>
      </c>
      <c r="G5" s="84" t="s">
        <v>676</v>
      </c>
      <c r="L5" s="660" t="s">
        <v>669</v>
      </c>
      <c r="M5" s="659" t="s">
        <v>670</v>
      </c>
    </row>
    <row r="6" spans="2:13">
      <c r="B6" s="99" t="s">
        <v>669</v>
      </c>
      <c r="C6" s="100">
        <f>(C3*E4)/2</f>
        <v>200</v>
      </c>
      <c r="D6" s="108">
        <f>3*'Costo estación'!A20</f>
        <v>3</v>
      </c>
      <c r="E6" s="363">
        <f>L6*C6^L7</f>
        <v>299185.36643206869</v>
      </c>
      <c r="F6" s="109">
        <f>E6*D6</f>
        <v>897556.09929620614</v>
      </c>
      <c r="G6" s="100">
        <f>C6*M24+M25</f>
        <v>6454.7945205479446</v>
      </c>
      <c r="L6" s="658">
        <f>+F30</f>
        <v>42994.447435250178</v>
      </c>
      <c r="M6" s="658">
        <f>+C30</f>
        <v>18963.857984608607</v>
      </c>
    </row>
    <row r="7" spans="2:13">
      <c r="B7" s="99" t="s">
        <v>670</v>
      </c>
      <c r="C7" s="100">
        <f>(C3*F4)/2</f>
        <v>2300</v>
      </c>
      <c r="D7" s="108">
        <f>3*'Costo estación'!A21</f>
        <v>3</v>
      </c>
      <c r="E7" s="364">
        <f>M6*C7^M7</f>
        <v>1525951.5327357731</v>
      </c>
      <c r="F7" s="109">
        <f>E7*D7</f>
        <v>4577854.5982073192</v>
      </c>
      <c r="G7" s="100">
        <f>C7*J24+J25</f>
        <v>30573.238636363636</v>
      </c>
      <c r="L7" s="658">
        <f>+F31</f>
        <v>0.36615253933752195</v>
      </c>
      <c r="M7" s="658">
        <f>+C31</f>
        <v>0.5668555392918232</v>
      </c>
    </row>
    <row r="11" spans="2:13" ht="50.25" customHeight="1">
      <c r="B11" s="748" t="s">
        <v>1229</v>
      </c>
      <c r="C11" s="748"/>
      <c r="E11" s="748" t="s">
        <v>1230</v>
      </c>
      <c r="F11" s="748"/>
      <c r="I11" s="748" t="s">
        <v>677</v>
      </c>
      <c r="J11" s="748"/>
      <c r="L11" s="748" t="s">
        <v>678</v>
      </c>
      <c r="M11" s="748"/>
    </row>
    <row r="12" spans="2:13" ht="13.5" thickBot="1">
      <c r="B12" s="110" t="s">
        <v>695</v>
      </c>
      <c r="C12" s="111" t="s">
        <v>696</v>
      </c>
      <c r="E12" s="110" t="str">
        <f>+B12</f>
        <v>Capacidad (HP)</v>
      </c>
      <c r="F12" s="111" t="str">
        <f>+C12</f>
        <v>PRECIO CENTRIFUGAS</v>
      </c>
      <c r="I12" s="110" t="s">
        <v>679</v>
      </c>
      <c r="J12" s="111" t="s">
        <v>681</v>
      </c>
      <c r="L12" s="110" t="s">
        <v>679</v>
      </c>
      <c r="M12" s="111" t="s">
        <v>681</v>
      </c>
    </row>
    <row r="13" spans="2:13" ht="15">
      <c r="B13" s="99">
        <v>1250</v>
      </c>
      <c r="C13" s="112">
        <v>1093789.2269704842</v>
      </c>
      <c r="D13" s="657"/>
      <c r="E13" s="99">
        <v>100</v>
      </c>
      <c r="F13" s="112">
        <v>245843.08040364599</v>
      </c>
      <c r="I13" s="99">
        <v>1250</v>
      </c>
      <c r="J13" s="113">
        <v>21600</v>
      </c>
      <c r="L13" s="99">
        <v>100</v>
      </c>
      <c r="M13" s="113">
        <v>4400</v>
      </c>
    </row>
    <row r="14" spans="2:13">
      <c r="B14" s="99">
        <v>1750</v>
      </c>
      <c r="C14" s="112">
        <v>1105989</v>
      </c>
      <c r="E14" s="99">
        <v>200</v>
      </c>
      <c r="F14" s="112">
        <v>245130.55154805459</v>
      </c>
      <c r="I14" s="99">
        <v>1750</v>
      </c>
      <c r="J14" s="113">
        <v>26500</v>
      </c>
      <c r="L14" s="99">
        <v>200</v>
      </c>
      <c r="M14" s="113">
        <v>6600</v>
      </c>
    </row>
    <row r="15" spans="2:13">
      <c r="B15" s="99">
        <v>2000</v>
      </c>
      <c r="C15" s="112">
        <v>1389363.5835435018</v>
      </c>
      <c r="E15" s="99">
        <v>250</v>
      </c>
      <c r="F15" s="112">
        <v>412662.76019134774</v>
      </c>
      <c r="I15" s="99">
        <v>2000</v>
      </c>
      <c r="J15" s="113">
        <v>28700</v>
      </c>
      <c r="L15" s="99">
        <v>300</v>
      </c>
      <c r="M15" s="113">
        <v>8500</v>
      </c>
    </row>
    <row r="16" spans="2:13">
      <c r="B16" s="99">
        <v>2250</v>
      </c>
      <c r="C16" s="112">
        <v>1759958.9098474826</v>
      </c>
      <c r="E16" s="99">
        <v>300</v>
      </c>
      <c r="F16" s="112">
        <v>293856.31069728616</v>
      </c>
      <c r="I16" s="99">
        <v>2500</v>
      </c>
      <c r="J16" s="113">
        <v>32800</v>
      </c>
      <c r="L16" s="99">
        <v>350</v>
      </c>
      <c r="M16" s="113">
        <v>9300</v>
      </c>
    </row>
    <row r="17" spans="2:13">
      <c r="B17" s="99">
        <v>2500</v>
      </c>
      <c r="C17" s="112">
        <v>1489279.8304468535</v>
      </c>
      <c r="E17" s="99">
        <v>350</v>
      </c>
      <c r="F17" s="112">
        <v>350592.23501882632</v>
      </c>
      <c r="I17" s="99">
        <v>3500</v>
      </c>
      <c r="J17" s="113">
        <v>40100</v>
      </c>
      <c r="L17" s="99">
        <v>450</v>
      </c>
      <c r="M17" s="113">
        <v>10800</v>
      </c>
    </row>
    <row r="18" spans="2:13">
      <c r="B18" s="99">
        <v>3000</v>
      </c>
      <c r="C18" s="112">
        <v>2094159.68493757</v>
      </c>
      <c r="E18" s="99">
        <v>450</v>
      </c>
      <c r="F18" s="112">
        <v>511011</v>
      </c>
      <c r="I18" s="99">
        <v>4500</v>
      </c>
      <c r="J18" s="113">
        <v>46700</v>
      </c>
    </row>
    <row r="19" spans="2:13">
      <c r="B19" s="99">
        <v>3500</v>
      </c>
      <c r="C19" s="112">
        <v>2020514.774396145</v>
      </c>
      <c r="E19" s="99">
        <v>500</v>
      </c>
      <c r="F19" s="112">
        <v>369996.376293573</v>
      </c>
      <c r="I19" s="749" t="s">
        <v>683</v>
      </c>
      <c r="J19" s="749"/>
      <c r="L19" s="749" t="s">
        <v>683</v>
      </c>
      <c r="M19" s="749"/>
    </row>
    <row r="20" spans="2:13">
      <c r="B20" s="99">
        <v>4000</v>
      </c>
      <c r="C20" s="112">
        <v>1988473.0301427816</v>
      </c>
      <c r="E20" s="99">
        <v>900</v>
      </c>
      <c r="F20" s="112">
        <v>518642.30261397536</v>
      </c>
      <c r="I20" s="749"/>
      <c r="J20" s="749"/>
      <c r="L20" s="749"/>
      <c r="M20" s="749"/>
    </row>
    <row r="21" spans="2:13">
      <c r="B21" s="99">
        <v>4250</v>
      </c>
      <c r="C21" s="112">
        <v>2290574.1019790135</v>
      </c>
      <c r="I21" s="110" t="s">
        <v>686</v>
      </c>
      <c r="J21" s="114" t="s">
        <v>687</v>
      </c>
      <c r="L21" s="110" t="s">
        <v>686</v>
      </c>
      <c r="M21" s="114" t="s">
        <v>687</v>
      </c>
    </row>
    <row r="22" spans="2:13">
      <c r="B22" s="99">
        <v>4500</v>
      </c>
      <c r="C22" s="112">
        <v>2075412</v>
      </c>
      <c r="I22" s="107" t="s">
        <v>689</v>
      </c>
      <c r="J22" s="115">
        <f>RSQ($J$13:$J$18, $I$13:$I$18)</f>
        <v>0.99492120414015306</v>
      </c>
      <c r="L22" s="107" t="s">
        <v>689</v>
      </c>
      <c r="M22" s="115">
        <f>RSQ($M$13:$M$17, $L$13:$L$17)</f>
        <v>0.99267255453796277</v>
      </c>
    </row>
    <row r="23" spans="2:13">
      <c r="B23" s="99">
        <v>5000</v>
      </c>
      <c r="C23" s="112">
        <v>2376098.3259084644</v>
      </c>
      <c r="I23" s="107" t="s">
        <v>691</v>
      </c>
      <c r="J23" s="116">
        <f>STEYX($J$13:$J$18, $I$13:$I$18)</f>
        <v>737.53370493091597</v>
      </c>
      <c r="L23" s="107" t="s">
        <v>691</v>
      </c>
      <c r="M23" s="116">
        <f>STEYX($M$13:$M$17, $L$13:$L$17)</f>
        <v>245.46107950653115</v>
      </c>
    </row>
    <row r="24" spans="2:13">
      <c r="B24" s="99">
        <v>5500</v>
      </c>
      <c r="C24" s="112">
        <v>2350246.7107122224</v>
      </c>
      <c r="I24" s="107" t="s">
        <v>692</v>
      </c>
      <c r="J24" s="116">
        <f>SLOPE($J$13:$J$18, $I$13:$I$18)</f>
        <v>7.6238636363636347</v>
      </c>
      <c r="L24" s="107" t="s">
        <v>692</v>
      </c>
      <c r="M24" s="116">
        <f>SLOPE($M$13:$M$18, $L$13:$L$18)</f>
        <v>18.315068493150687</v>
      </c>
    </row>
    <row r="25" spans="2:13">
      <c r="I25" s="107" t="s">
        <v>694</v>
      </c>
      <c r="J25" s="116">
        <f>INTERCEPT($J$13:$J$18, $I$13:$I$18)</f>
        <v>13038.352272727276</v>
      </c>
      <c r="L25" s="107" t="s">
        <v>694</v>
      </c>
      <c r="M25" s="116">
        <f>INTERCEPT($M$13:$M$17, $L$13:$L$17)</f>
        <v>2791.7808219178078</v>
      </c>
    </row>
    <row r="26" spans="2:13">
      <c r="B26" s="117"/>
      <c r="C26" s="117"/>
    </row>
    <row r="27" spans="2:13">
      <c r="B27" s="749" t="s">
        <v>682</v>
      </c>
      <c r="C27" s="749"/>
      <c r="E27" s="749" t="s">
        <v>682</v>
      </c>
      <c r="F27" s="749"/>
      <c r="I27" s="110" t="s">
        <v>679</v>
      </c>
      <c r="J27" s="111" t="s">
        <v>681</v>
      </c>
      <c r="L27" s="110" t="s">
        <v>679</v>
      </c>
      <c r="M27" s="111" t="s">
        <v>680</v>
      </c>
    </row>
    <row r="28" spans="2:13">
      <c r="B28" s="749"/>
      <c r="C28" s="749"/>
      <c r="E28" s="749"/>
      <c r="F28" s="749"/>
      <c r="H28" s="360"/>
      <c r="I28" s="118">
        <f>INDEX($I$13:$I$18, 1, 1)</f>
        <v>1250</v>
      </c>
      <c r="J28" s="120">
        <f>$J$24 * $I$28 + $J$25</f>
        <v>22568.18181818182</v>
      </c>
      <c r="L28" s="118">
        <f>INDEX($L$13:$L$18, 1, 1)</f>
        <v>100</v>
      </c>
      <c r="M28" s="120">
        <f>$M$24 * $L$28 + $M$25</f>
        <v>4623.2876712328762</v>
      </c>
    </row>
    <row r="29" spans="2:13">
      <c r="B29" s="107" t="s">
        <v>684</v>
      </c>
      <c r="C29" s="116" t="s">
        <v>685</v>
      </c>
      <c r="E29" s="107" t="s">
        <v>684</v>
      </c>
      <c r="F29" s="116" t="s">
        <v>685</v>
      </c>
      <c r="H29" s="360"/>
      <c r="I29" s="118">
        <f>INDEX($I$13:$I$18, 2, 1)</f>
        <v>1750</v>
      </c>
      <c r="J29" s="120">
        <f>$J$24 * $I$29 + $J$25</f>
        <v>26380.113636363636</v>
      </c>
      <c r="L29" s="118">
        <f>INDEX($L$13:$L$18, 2, 1)</f>
        <v>200</v>
      </c>
      <c r="M29" s="120">
        <f>$M$24 * $L$29 + $M$25</f>
        <v>6454.7945205479446</v>
      </c>
    </row>
    <row r="30" spans="2:13">
      <c r="B30" s="107" t="s">
        <v>688</v>
      </c>
      <c r="C30" s="467" cm="1">
        <f t="array" ref="C30">EXP(INTERCEPT(LN($C$13:$C$24), LN(B13:B24)))</f>
        <v>18963.857984608607</v>
      </c>
      <c r="E30" s="107" t="s">
        <v>688</v>
      </c>
      <c r="F30" s="467" cm="1">
        <f t="array" ref="F30">EXP(INTERCEPT(LN($F$13:$F$20), LN(E13:E20)))</f>
        <v>42994.447435250178</v>
      </c>
      <c r="H30" s="360"/>
      <c r="I30" s="118">
        <f>INDEX($I$13:$I$18, 3, 1)</f>
        <v>2000</v>
      </c>
      <c r="J30" s="120">
        <f>$J$24 * $I$30 + $J$25</f>
        <v>28286.079545454544</v>
      </c>
      <c r="L30" s="118">
        <f>INDEX($L$13:$L$18, 3, 1)</f>
        <v>300</v>
      </c>
      <c r="M30" s="120">
        <f>$M$24 * $L$30 + $M$25</f>
        <v>8286.301369863013</v>
      </c>
    </row>
    <row r="31" spans="2:13">
      <c r="B31" s="107" t="s">
        <v>690</v>
      </c>
      <c r="C31" s="466" cm="1">
        <f t="array" ref="C31">SLOPE(LN($C$13:$C$24), LN(B13:B24))</f>
        <v>0.5668555392918232</v>
      </c>
      <c r="E31" s="107" t="s">
        <v>690</v>
      </c>
      <c r="F31" s="466" cm="1">
        <f t="array" ref="F31">SLOPE(LN($F$13:$F$20), LN(E13:E20))</f>
        <v>0.36615253933752195</v>
      </c>
      <c r="H31" s="360"/>
      <c r="I31" s="118">
        <f>INDEX($I$13:$I$18, 4, 1)</f>
        <v>2500</v>
      </c>
      <c r="J31" s="120">
        <f>$J$24 * $I$31 + $J$25</f>
        <v>32098.011363636364</v>
      </c>
      <c r="L31" s="118">
        <f>INDEX($L$13:$L$18, 4, 1)</f>
        <v>350</v>
      </c>
      <c r="M31" s="120">
        <f>$M$24 * $L$31 + $M$25</f>
        <v>9202.0547945205471</v>
      </c>
    </row>
    <row r="32" spans="2:13">
      <c r="B32" s="107" t="s">
        <v>689</v>
      </c>
      <c r="C32" s="466" cm="1">
        <f t="array" ref="C32">RSQ(LN($C$13:$C$24), LN(B13:B24))</f>
        <v>0.88157938630134824</v>
      </c>
      <c r="E32" s="107" t="s">
        <v>689</v>
      </c>
      <c r="F32" s="466" cm="1">
        <f t="array" ref="F32">RSQ(LN($F$13:$F$20), LN(E13:E20))</f>
        <v>0.66758846502287295</v>
      </c>
      <c r="H32" s="360"/>
      <c r="I32" s="118">
        <f>INDEX($I$13:$I$18, 5, 1)</f>
        <v>3500</v>
      </c>
      <c r="J32" s="120">
        <f>$J$24 * $I$32 + $J$25</f>
        <v>39721.875</v>
      </c>
      <c r="L32" s="118">
        <f>INDEX($L$13:$L$18, 5, 1)</f>
        <v>450</v>
      </c>
      <c r="M32" s="120">
        <f>$M$24 * $L$32 + $M$25</f>
        <v>11033.561643835617</v>
      </c>
    </row>
    <row r="33" spans="2:10">
      <c r="B33" s="107" t="s">
        <v>693</v>
      </c>
      <c r="C33" s="466" cm="1">
        <f t="array" ref="C33">STEYX(LN($C$13:$C$24), LN(B13:B24))</f>
        <v>0.10088323294788903</v>
      </c>
      <c r="E33" s="107" t="s">
        <v>693</v>
      </c>
      <c r="F33" s="466" cm="1">
        <f t="array" ref="F33">STEYX(LN($F$13:$F$20), LN(E13:E20))</f>
        <v>0.18365421652085376</v>
      </c>
      <c r="I33" s="118">
        <f>INDEX($I$13:$I$18, 6, 1)</f>
        <v>4500</v>
      </c>
      <c r="J33" s="120">
        <f>$J$24 * $I$33 + $J$25</f>
        <v>47345.738636363632</v>
      </c>
    </row>
    <row r="35" spans="2:10">
      <c r="B35" s="110" t="s">
        <v>679</v>
      </c>
      <c r="C35" s="111" t="s">
        <v>680</v>
      </c>
      <c r="E35" s="110" t="s">
        <v>679</v>
      </c>
      <c r="F35" s="111" t="s">
        <v>680</v>
      </c>
    </row>
    <row r="36" spans="2:10">
      <c r="B36" s="118">
        <f t="shared" ref="B36:B47" si="0">+B13</f>
        <v>1250</v>
      </c>
      <c r="C36" s="119">
        <f>$C$30*B36^$C$31</f>
        <v>1080008.7893924916</v>
      </c>
      <c r="E36" s="118">
        <f t="shared" ref="E36:E43" si="1">+E13</f>
        <v>100</v>
      </c>
      <c r="F36" s="119">
        <f>$F$30*E36^$F$31</f>
        <v>232122.61282739471</v>
      </c>
    </row>
    <row r="37" spans="2:10">
      <c r="B37" s="118">
        <f t="shared" si="0"/>
        <v>1750</v>
      </c>
      <c r="C37" s="119">
        <f t="shared" ref="C37:C47" si="2">$C$30*B37^$C$31</f>
        <v>1306955.4267457442</v>
      </c>
      <c r="E37" s="118">
        <f t="shared" si="1"/>
        <v>200</v>
      </c>
      <c r="F37" s="119">
        <f t="shared" ref="F37:F43" si="3">$F$30*E37^$F$31</f>
        <v>299185.36643206869</v>
      </c>
    </row>
    <row r="38" spans="2:10">
      <c r="B38" s="118">
        <f t="shared" si="0"/>
        <v>2000</v>
      </c>
      <c r="C38" s="119">
        <f t="shared" si="2"/>
        <v>1409723.1536102304</v>
      </c>
      <c r="E38" s="118">
        <f t="shared" si="1"/>
        <v>250</v>
      </c>
      <c r="F38" s="119">
        <f t="shared" si="3"/>
        <v>324656.56933210831</v>
      </c>
    </row>
    <row r="39" spans="2:10">
      <c r="B39" s="118">
        <f t="shared" si="0"/>
        <v>2250</v>
      </c>
      <c r="C39" s="119">
        <f t="shared" si="2"/>
        <v>1507057.8498772739</v>
      </c>
      <c r="E39" s="118">
        <f t="shared" si="1"/>
        <v>300</v>
      </c>
      <c r="F39" s="119">
        <f t="shared" si="3"/>
        <v>347069.62730191665</v>
      </c>
    </row>
    <row r="40" spans="2:10">
      <c r="B40" s="118">
        <f t="shared" si="0"/>
        <v>2500</v>
      </c>
      <c r="C40" s="119">
        <f t="shared" si="2"/>
        <v>1599807.8019904133</v>
      </c>
      <c r="E40" s="118">
        <f t="shared" si="1"/>
        <v>350</v>
      </c>
      <c r="F40" s="119">
        <f t="shared" si="3"/>
        <v>367222.55374209909</v>
      </c>
    </row>
    <row r="41" spans="2:10">
      <c r="B41" s="118">
        <f t="shared" si="0"/>
        <v>3000</v>
      </c>
      <c r="C41" s="119">
        <f t="shared" si="2"/>
        <v>1773993.9662599626</v>
      </c>
      <c r="E41" s="118">
        <f t="shared" si="1"/>
        <v>450</v>
      </c>
      <c r="F41" s="119">
        <f t="shared" si="3"/>
        <v>402617.70698214165</v>
      </c>
    </row>
    <row r="42" spans="2:10">
      <c r="B42" s="118">
        <f t="shared" si="0"/>
        <v>3500</v>
      </c>
      <c r="C42" s="119">
        <f t="shared" si="2"/>
        <v>1935981.9189413046</v>
      </c>
      <c r="E42" s="118">
        <f t="shared" si="1"/>
        <v>500</v>
      </c>
      <c r="F42" s="119">
        <f t="shared" si="3"/>
        <v>418453.39183921926</v>
      </c>
    </row>
    <row r="43" spans="2:10">
      <c r="B43" s="118">
        <f t="shared" si="0"/>
        <v>4000</v>
      </c>
      <c r="C43" s="119">
        <f t="shared" si="2"/>
        <v>2088210.8756362826</v>
      </c>
      <c r="E43" s="118">
        <f t="shared" si="1"/>
        <v>900</v>
      </c>
      <c r="F43" s="119">
        <f t="shared" si="3"/>
        <v>518938.35214177443</v>
      </c>
    </row>
    <row r="44" spans="2:10">
      <c r="B44" s="118">
        <f t="shared" si="0"/>
        <v>4250</v>
      </c>
      <c r="C44" s="119">
        <f t="shared" si="2"/>
        <v>2161220.3990273699</v>
      </c>
    </row>
    <row r="45" spans="2:10">
      <c r="B45" s="118">
        <f t="shared" si="0"/>
        <v>4500</v>
      </c>
      <c r="C45" s="119">
        <f t="shared" si="2"/>
        <v>2232391.9304774911</v>
      </c>
    </row>
    <row r="46" spans="2:10">
      <c r="B46" s="118">
        <f t="shared" si="0"/>
        <v>5000</v>
      </c>
      <c r="C46" s="119">
        <f t="shared" si="2"/>
        <v>2369781.6429337231</v>
      </c>
      <c r="F46" s="184"/>
    </row>
    <row r="47" spans="2:10">
      <c r="B47" s="118">
        <f t="shared" si="0"/>
        <v>5500</v>
      </c>
      <c r="C47" s="119">
        <f t="shared" si="2"/>
        <v>2501335.8283054945</v>
      </c>
    </row>
  </sheetData>
  <sheetProtection algorithmName="SHA-512" hashValue="ddJ0ZV70THJlPKhNFPd5641WW5u8XrVSLnH03vlTpDeHVYfKC5k81Ros2z7ynL1FyGphlJVTLN5mRN16LuMmUw==" saltValue="JtTFyAMPgJ8xfVDGxhwTNA==" spinCount="100000" sheet="1"/>
  <mergeCells count="14">
    <mergeCell ref="B2:F2"/>
    <mergeCell ref="I2:M2"/>
    <mergeCell ref="B3:B4"/>
    <mergeCell ref="C3:D4"/>
    <mergeCell ref="I3:I4"/>
    <mergeCell ref="J3:K4"/>
    <mergeCell ref="B11:C11"/>
    <mergeCell ref="E11:F11"/>
    <mergeCell ref="I11:J11"/>
    <mergeCell ref="L11:M11"/>
    <mergeCell ref="B27:C28"/>
    <mergeCell ref="E27:F28"/>
    <mergeCell ref="I19:J20"/>
    <mergeCell ref="L19:M20"/>
  </mergeCells>
  <dataValidations count="3">
    <dataValidation operator="equal" allowBlank="1" showErrorMessage="1" sqref="D3:D4 K3:K4 D6:G7" xr:uid="{00000000-0002-0000-0700-000000000000}">
      <formula1>0</formula1>
      <formula2>0</formula2>
    </dataValidation>
    <dataValidation type="whole" operator="greaterThan" allowBlank="1" showErrorMessage="1" sqref="C3" xr:uid="{00000000-0002-0000-0700-000001000000}">
      <formula1>-1</formula1>
      <formula2>0</formula2>
    </dataValidation>
    <dataValidation operator="greaterThan" allowBlank="1" showErrorMessage="1" sqref="J3" xr:uid="{00000000-0002-0000-0700-000002000000}">
      <formula1>-1</formula1>
      <formula2>0</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dimension ref="A1:AMJ192"/>
  <sheetViews>
    <sheetView showGridLines="0" showRowColHeaders="0" topLeftCell="C1" zoomScaleNormal="100" workbookViewId="0">
      <pane ySplit="2" topLeftCell="A87" activePane="bottomLeft" state="frozen"/>
      <selection activeCell="C33" sqref="C33"/>
      <selection pane="bottomLeft" activeCell="C33" sqref="C33"/>
    </sheetView>
  </sheetViews>
  <sheetFormatPr baseColWidth="10" defaultColWidth="9.140625" defaultRowHeight="12.75"/>
  <cols>
    <col min="1" max="1" width="26" style="121" customWidth="1"/>
    <col min="2" max="2" width="104.85546875" style="122" customWidth="1"/>
    <col min="3" max="3" width="21.28515625" style="122" customWidth="1"/>
    <col min="4" max="4" width="19.42578125" style="122" customWidth="1"/>
    <col min="5" max="5" width="15.42578125" style="122" customWidth="1"/>
    <col min="6" max="6" width="25.7109375" customWidth="1"/>
    <col min="7" max="7" width="2.42578125" style="123" customWidth="1"/>
    <col min="8" max="8" width="18.140625" style="122" customWidth="1"/>
    <col min="9" max="9" width="27.7109375" style="122" customWidth="1"/>
    <col min="10" max="10" width="15.42578125" style="124" customWidth="1"/>
    <col min="11" max="11" width="15.42578125" style="125" customWidth="1"/>
    <col min="12" max="1017" width="15.42578125" style="122" customWidth="1"/>
    <col min="1018" max="1025" width="11.42578125"/>
  </cols>
  <sheetData>
    <row r="1" spans="1:1024" s="122" customFormat="1">
      <c r="A1" s="126"/>
      <c r="B1" s="42"/>
      <c r="C1" s="42"/>
      <c r="D1" s="42"/>
      <c r="E1" s="42"/>
      <c r="F1" s="127"/>
      <c r="G1" s="128"/>
      <c r="H1" s="42"/>
      <c r="I1" s="42"/>
      <c r="J1" s="129" t="s">
        <v>697</v>
      </c>
      <c r="K1" s="129" t="s">
        <v>397</v>
      </c>
      <c r="L1" s="42"/>
      <c r="AMD1"/>
      <c r="AME1"/>
      <c r="AMF1"/>
      <c r="AMG1"/>
      <c r="AMH1"/>
      <c r="AMI1"/>
      <c r="AMJ1"/>
    </row>
    <row r="2" spans="1:1024" s="121" customFormat="1" ht="37.5">
      <c r="A2" s="130" t="s">
        <v>698</v>
      </c>
      <c r="B2" s="130" t="s">
        <v>561</v>
      </c>
      <c r="C2" s="130" t="s">
        <v>699</v>
      </c>
      <c r="D2" s="130" t="s">
        <v>700</v>
      </c>
      <c r="E2" s="130" t="s">
        <v>701</v>
      </c>
      <c r="F2" s="131" t="s">
        <v>702</v>
      </c>
      <c r="G2" s="128"/>
      <c r="H2" s="130" t="s">
        <v>703</v>
      </c>
      <c r="I2" s="130" t="s">
        <v>704</v>
      </c>
      <c r="J2" s="132" t="s">
        <v>705</v>
      </c>
      <c r="K2" s="132" t="s">
        <v>705</v>
      </c>
      <c r="L2" s="132" t="s">
        <v>706</v>
      </c>
    </row>
    <row r="3" spans="1:1024" s="122" customFormat="1">
      <c r="A3" s="133" t="s">
        <v>411</v>
      </c>
      <c r="B3" s="134" t="s">
        <v>707</v>
      </c>
      <c r="C3" s="135" t="s">
        <v>708</v>
      </c>
      <c r="D3" s="135">
        <v>20</v>
      </c>
      <c r="E3" s="135"/>
      <c r="F3" s="136">
        <v>117.2524368326</v>
      </c>
      <c r="G3" s="128"/>
      <c r="H3" s="133" t="s">
        <v>709</v>
      </c>
      <c r="I3" s="137">
        <f t="shared" ref="I3:I34" si="0">IF(A3="Equipos Rotativos",F3,F3*fac_piping)</f>
        <v>34.796472665255052</v>
      </c>
      <c r="J3" s="138">
        <v>3.76964446914684</v>
      </c>
      <c r="K3" s="138">
        <v>2.5798063238981399</v>
      </c>
      <c r="L3" s="139" t="s">
        <v>710</v>
      </c>
      <c r="M3" s="121"/>
      <c r="N3" s="121"/>
      <c r="O3" s="121"/>
      <c r="P3" s="121"/>
      <c r="Q3" s="121"/>
      <c r="R3" s="121"/>
      <c r="S3" s="121"/>
      <c r="T3" s="121"/>
      <c r="U3" s="121"/>
      <c r="V3" s="121"/>
      <c r="W3" s="121"/>
      <c r="X3" s="121"/>
      <c r="Y3" s="121"/>
      <c r="Z3" s="121"/>
      <c r="AA3" s="121"/>
      <c r="AB3" s="121"/>
      <c r="AC3" s="121"/>
      <c r="AD3" s="121"/>
      <c r="AE3" s="121"/>
      <c r="AF3" s="121"/>
      <c r="AG3" s="121"/>
      <c r="AH3" s="121"/>
      <c r="AI3" s="121"/>
      <c r="AMD3"/>
      <c r="AME3"/>
      <c r="AMF3"/>
      <c r="AMG3"/>
      <c r="AMH3"/>
      <c r="AMI3"/>
      <c r="AMJ3"/>
    </row>
    <row r="4" spans="1:1024" s="122" customFormat="1">
      <c r="A4" s="133" t="s">
        <v>411</v>
      </c>
      <c r="B4" s="134" t="s">
        <v>711</v>
      </c>
      <c r="C4" s="135" t="s">
        <v>708</v>
      </c>
      <c r="D4" s="135">
        <v>30</v>
      </c>
      <c r="E4" s="135"/>
      <c r="F4" s="140">
        <v>93.352523956200002</v>
      </c>
      <c r="G4" s="128"/>
      <c r="H4" s="133" t="s">
        <v>709</v>
      </c>
      <c r="I4" s="137">
        <f t="shared" si="0"/>
        <v>27.703804166663915</v>
      </c>
      <c r="J4" s="138">
        <v>2.8708382874119498</v>
      </c>
      <c r="K4" s="138">
        <v>2.5798063238981399</v>
      </c>
      <c r="L4" s="139" t="s">
        <v>710</v>
      </c>
      <c r="M4" s="121"/>
      <c r="N4" s="121"/>
      <c r="O4" s="121"/>
      <c r="P4" s="121"/>
      <c r="Q4" s="121"/>
      <c r="R4" s="121"/>
      <c r="S4" s="121"/>
      <c r="T4" s="121"/>
      <c r="U4" s="121"/>
      <c r="V4" s="121"/>
      <c r="W4" s="121"/>
      <c r="X4" s="121"/>
      <c r="Y4" s="121"/>
      <c r="Z4" s="121"/>
      <c r="AA4" s="121"/>
      <c r="AB4" s="121"/>
      <c r="AC4" s="121"/>
      <c r="AD4" s="121"/>
      <c r="AE4" s="121"/>
      <c r="AF4" s="121"/>
      <c r="AG4" s="121"/>
      <c r="AH4" s="121"/>
      <c r="AI4" s="121"/>
      <c r="AMD4"/>
      <c r="AME4"/>
      <c r="AMF4"/>
      <c r="AMG4"/>
      <c r="AMH4"/>
      <c r="AMI4"/>
      <c r="AMJ4"/>
    </row>
    <row r="5" spans="1:1024" s="122" customFormat="1">
      <c r="A5" s="133" t="s">
        <v>411</v>
      </c>
      <c r="B5" s="134" t="s">
        <v>712</v>
      </c>
      <c r="C5" s="135" t="s">
        <v>708</v>
      </c>
      <c r="D5" s="135">
        <v>40</v>
      </c>
      <c r="E5" s="135"/>
      <c r="F5" s="140">
        <v>16.1019338308</v>
      </c>
      <c r="G5" s="128"/>
      <c r="H5" s="133" t="s">
        <v>709</v>
      </c>
      <c r="I5" s="137">
        <f t="shared" si="0"/>
        <v>4.7784977057756022</v>
      </c>
      <c r="J5" s="138">
        <v>3.8504691828633399</v>
      </c>
      <c r="K5" s="138">
        <v>3.63200796177175</v>
      </c>
      <c r="L5" s="139" t="s">
        <v>710</v>
      </c>
      <c r="M5" s="121"/>
      <c r="N5" s="121"/>
      <c r="O5" s="121"/>
      <c r="P5" s="121"/>
      <c r="Q5" s="121"/>
      <c r="R5" s="121"/>
      <c r="S5" s="121"/>
      <c r="T5" s="121"/>
      <c r="U5" s="121"/>
      <c r="V5" s="121"/>
      <c r="W5" s="121"/>
      <c r="X5" s="121"/>
      <c r="Y5" s="121"/>
      <c r="Z5" s="121"/>
      <c r="AA5" s="121"/>
      <c r="AB5" s="121"/>
      <c r="AC5" s="121"/>
      <c r="AD5" s="121"/>
      <c r="AE5" s="121"/>
      <c r="AF5" s="121"/>
      <c r="AG5" s="121"/>
      <c r="AH5" s="121"/>
      <c r="AI5" s="121"/>
      <c r="AMD5"/>
      <c r="AME5"/>
      <c r="AMF5"/>
      <c r="AMG5"/>
      <c r="AMH5"/>
      <c r="AMI5"/>
      <c r="AMJ5"/>
    </row>
    <row r="6" spans="1:1024" s="122" customFormat="1">
      <c r="A6" s="133" t="s">
        <v>411</v>
      </c>
      <c r="B6" s="134" t="s">
        <v>713</v>
      </c>
      <c r="C6" s="135" t="s">
        <v>708</v>
      </c>
      <c r="D6" s="135">
        <v>40</v>
      </c>
      <c r="E6" s="135"/>
      <c r="F6" s="140">
        <v>5.4496563482799996</v>
      </c>
      <c r="G6" s="128"/>
      <c r="H6" s="133" t="s">
        <v>709</v>
      </c>
      <c r="I6" s="137">
        <f t="shared" si="0"/>
        <v>1.6172697410859755</v>
      </c>
      <c r="J6" s="138">
        <v>2.9359649448446201</v>
      </c>
      <c r="K6" s="138">
        <v>3.63200796177175</v>
      </c>
      <c r="L6" s="139" t="s">
        <v>710</v>
      </c>
      <c r="M6" s="121"/>
      <c r="N6" s="121"/>
      <c r="O6" s="121"/>
      <c r="P6" s="121"/>
      <c r="Q6" s="121"/>
      <c r="R6" s="121"/>
      <c r="S6" s="121"/>
      <c r="T6" s="121"/>
      <c r="U6" s="121"/>
      <c r="V6" s="121"/>
      <c r="W6" s="121"/>
      <c r="X6" s="121"/>
      <c r="Y6" s="121"/>
      <c r="Z6" s="121"/>
      <c r="AA6" s="121"/>
      <c r="AB6" s="121"/>
      <c r="AC6" s="121"/>
      <c r="AD6" s="121"/>
      <c r="AE6" s="121"/>
      <c r="AF6" s="121"/>
      <c r="AG6" s="121"/>
      <c r="AH6" s="121"/>
      <c r="AI6" s="121"/>
      <c r="AMD6"/>
      <c r="AME6"/>
      <c r="AMF6"/>
      <c r="AMG6"/>
      <c r="AMH6"/>
      <c r="AMI6"/>
      <c r="AMJ6"/>
    </row>
    <row r="7" spans="1:1024" s="122" customFormat="1">
      <c r="A7" s="133" t="s">
        <v>411</v>
      </c>
      <c r="B7" s="134" t="s">
        <v>714</v>
      </c>
      <c r="C7" s="135" t="s">
        <v>715</v>
      </c>
      <c r="D7" s="135" t="s">
        <v>716</v>
      </c>
      <c r="E7" s="135"/>
      <c r="F7" s="140">
        <v>100.24391377000001</v>
      </c>
      <c r="G7" s="128"/>
      <c r="H7" s="133" t="s">
        <v>717</v>
      </c>
      <c r="I7" s="137">
        <f t="shared" si="0"/>
        <v>29.748930594388934</v>
      </c>
      <c r="J7" s="138">
        <v>29.7474418930002</v>
      </c>
      <c r="K7" s="138">
        <v>8.9988184623025607</v>
      </c>
      <c r="L7" s="139" t="s">
        <v>710</v>
      </c>
      <c r="M7" s="121"/>
      <c r="N7" s="121"/>
      <c r="O7" s="121"/>
      <c r="P7" s="121"/>
      <c r="Q7" s="121"/>
      <c r="R7" s="121"/>
      <c r="S7" s="121"/>
      <c r="T7" s="121"/>
      <c r="U7" s="121"/>
      <c r="V7" s="121"/>
      <c r="W7" s="121"/>
      <c r="X7" s="121"/>
      <c r="Y7" s="121"/>
      <c r="Z7" s="121"/>
      <c r="AA7" s="121"/>
      <c r="AB7" s="121"/>
      <c r="AC7" s="121"/>
      <c r="AD7" s="121"/>
      <c r="AE7" s="121"/>
      <c r="AF7" s="121"/>
      <c r="AG7" s="121"/>
      <c r="AH7" s="121"/>
      <c r="AI7" s="121"/>
      <c r="AMD7"/>
      <c r="AME7"/>
      <c r="AMF7"/>
      <c r="AMG7"/>
      <c r="AMH7"/>
      <c r="AMI7"/>
      <c r="AMJ7"/>
    </row>
    <row r="8" spans="1:1024" s="122" customFormat="1">
      <c r="A8" s="133" t="s">
        <v>411</v>
      </c>
      <c r="B8" s="134" t="s">
        <v>718</v>
      </c>
      <c r="C8" s="135" t="s">
        <v>715</v>
      </c>
      <c r="D8" s="135" t="s">
        <v>716</v>
      </c>
      <c r="E8" s="135"/>
      <c r="F8" s="140">
        <v>61.688562320000003</v>
      </c>
      <c r="G8" s="128"/>
      <c r="H8" s="133" t="s">
        <v>717</v>
      </c>
      <c r="I8" s="137">
        <f t="shared" si="0"/>
        <v>18.307034211931651</v>
      </c>
      <c r="J8" s="138">
        <v>38.483633119624997</v>
      </c>
      <c r="K8" s="138">
        <v>8.9988184623025607</v>
      </c>
      <c r="L8" s="139" t="s">
        <v>710</v>
      </c>
      <c r="M8" s="121"/>
      <c r="N8" s="121"/>
      <c r="O8" s="121"/>
      <c r="P8" s="121"/>
      <c r="Q8" s="121"/>
      <c r="R8" s="121"/>
      <c r="S8" s="121"/>
      <c r="T8" s="121"/>
      <c r="U8" s="121"/>
      <c r="V8" s="121"/>
      <c r="W8" s="121"/>
      <c r="X8" s="121"/>
      <c r="Y8" s="121"/>
      <c r="Z8" s="121"/>
      <c r="AA8" s="121"/>
      <c r="AB8" s="121"/>
      <c r="AC8" s="121"/>
      <c r="AD8" s="121"/>
      <c r="AE8" s="121"/>
      <c r="AF8" s="121"/>
      <c r="AG8" s="121"/>
      <c r="AH8" s="121"/>
      <c r="AI8" s="121"/>
      <c r="AMD8"/>
      <c r="AME8"/>
      <c r="AMF8"/>
      <c r="AMG8"/>
      <c r="AMH8"/>
      <c r="AMI8"/>
      <c r="AMJ8"/>
    </row>
    <row r="9" spans="1:1024" s="122" customFormat="1">
      <c r="A9" s="133" t="s">
        <v>411</v>
      </c>
      <c r="B9" s="134" t="s">
        <v>719</v>
      </c>
      <c r="C9" s="135" t="s">
        <v>715</v>
      </c>
      <c r="D9" s="135" t="s">
        <v>716</v>
      </c>
      <c r="E9" s="135"/>
      <c r="F9" s="140">
        <v>2.7215542199999998</v>
      </c>
      <c r="G9" s="128"/>
      <c r="H9" s="133" t="s">
        <v>717</v>
      </c>
      <c r="I9" s="137">
        <f t="shared" si="0"/>
        <v>0.80766327405580807</v>
      </c>
      <c r="J9" s="138">
        <v>150.28177538935799</v>
      </c>
      <c r="K9" s="138">
        <v>17.468947208455301</v>
      </c>
      <c r="L9" s="139" t="s">
        <v>710</v>
      </c>
      <c r="M9" s="121"/>
      <c r="N9" s="121"/>
      <c r="O9" s="121"/>
      <c r="P9" s="121"/>
      <c r="Q9" s="121"/>
      <c r="R9" s="121"/>
      <c r="S9" s="121"/>
      <c r="T9" s="121"/>
      <c r="U9" s="121"/>
      <c r="V9" s="121"/>
      <c r="W9" s="121"/>
      <c r="X9" s="121"/>
      <c r="Y9" s="121"/>
      <c r="Z9" s="121"/>
      <c r="AA9" s="121"/>
      <c r="AB9" s="121"/>
      <c r="AC9" s="121"/>
      <c r="AD9" s="121"/>
      <c r="AE9" s="121"/>
      <c r="AF9" s="121"/>
      <c r="AG9" s="121"/>
      <c r="AH9" s="121"/>
      <c r="AI9" s="121"/>
      <c r="AMD9"/>
      <c r="AME9"/>
      <c r="AMF9"/>
      <c r="AMG9"/>
      <c r="AMH9"/>
      <c r="AMI9"/>
      <c r="AMJ9"/>
    </row>
    <row r="10" spans="1:1024" s="122" customFormat="1">
      <c r="A10" s="133" t="s">
        <v>411</v>
      </c>
      <c r="B10" s="134" t="s">
        <v>720</v>
      </c>
      <c r="C10" s="135" t="s">
        <v>715</v>
      </c>
      <c r="D10" s="135" t="s">
        <v>716</v>
      </c>
      <c r="E10" s="135"/>
      <c r="F10" s="140">
        <v>0.45359237000000002</v>
      </c>
      <c r="G10" s="128"/>
      <c r="H10" s="133" t="s">
        <v>717</v>
      </c>
      <c r="I10" s="137">
        <f t="shared" si="0"/>
        <v>0.13461054567596803</v>
      </c>
      <c r="J10" s="138">
        <v>304.23792181513102</v>
      </c>
      <c r="K10" s="138">
        <v>43.617814514031402</v>
      </c>
      <c r="L10" s="139" t="s">
        <v>710</v>
      </c>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MD10"/>
      <c r="AME10"/>
      <c r="AMF10"/>
      <c r="AMG10"/>
      <c r="AMH10"/>
      <c r="AMI10"/>
      <c r="AMJ10"/>
    </row>
    <row r="11" spans="1:1024" s="122" customFormat="1">
      <c r="A11" s="133" t="s">
        <v>411</v>
      </c>
      <c r="B11" s="134" t="s">
        <v>721</v>
      </c>
      <c r="C11" s="135" t="s">
        <v>715</v>
      </c>
      <c r="D11" s="135"/>
      <c r="E11" s="135" t="s">
        <v>722</v>
      </c>
      <c r="F11" s="140">
        <v>85.275365559999997</v>
      </c>
      <c r="G11" s="128"/>
      <c r="H11" s="133" t="s">
        <v>717</v>
      </c>
      <c r="I11" s="137">
        <f t="shared" si="0"/>
        <v>25.306782587081987</v>
      </c>
      <c r="J11" s="138">
        <v>22.081406366708698</v>
      </c>
      <c r="K11" s="138">
        <v>5.54077522720047</v>
      </c>
      <c r="L11" s="139" t="s">
        <v>710</v>
      </c>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MD11"/>
      <c r="AME11"/>
      <c r="AMF11"/>
      <c r="AMG11"/>
      <c r="AMH11"/>
      <c r="AMI11"/>
      <c r="AMJ11"/>
    </row>
    <row r="12" spans="1:1024" s="122" customFormat="1">
      <c r="A12" s="133" t="s">
        <v>411</v>
      </c>
      <c r="B12" s="134" t="s">
        <v>723</v>
      </c>
      <c r="C12" s="135" t="s">
        <v>715</v>
      </c>
      <c r="D12" s="135"/>
      <c r="E12" s="135" t="s">
        <v>722</v>
      </c>
      <c r="F12" s="140">
        <v>63.956524170000002</v>
      </c>
      <c r="G12" s="128"/>
      <c r="H12" s="133" t="s">
        <v>717</v>
      </c>
      <c r="I12" s="137">
        <f t="shared" si="0"/>
        <v>18.980086940311491</v>
      </c>
      <c r="J12" s="138">
        <v>23.437796525895799</v>
      </c>
      <c r="K12" s="138">
        <v>6.9757311270562301</v>
      </c>
      <c r="L12" s="139" t="s">
        <v>710</v>
      </c>
      <c r="M12" s="121"/>
      <c r="N12" s="121"/>
      <c r="O12" s="121"/>
      <c r="P12" s="121"/>
      <c r="Q12" s="121"/>
      <c r="R12" s="121"/>
      <c r="S12" s="121"/>
      <c r="T12" s="121"/>
      <c r="U12" s="121"/>
      <c r="V12" s="121"/>
      <c r="W12" s="121"/>
      <c r="X12" s="121"/>
      <c r="Y12" s="121"/>
      <c r="Z12" s="121"/>
      <c r="AA12" s="121"/>
      <c r="AB12" s="121"/>
      <c r="AC12" s="121"/>
      <c r="AD12" s="121"/>
      <c r="AE12" s="121"/>
      <c r="AF12" s="121"/>
      <c r="AG12" s="121"/>
      <c r="AH12" s="121"/>
      <c r="AI12" s="121"/>
      <c r="AMD12"/>
      <c r="AME12"/>
      <c r="AMF12"/>
      <c r="AMG12"/>
      <c r="AMH12"/>
      <c r="AMI12"/>
      <c r="AMJ12"/>
    </row>
    <row r="13" spans="1:1024" s="122" customFormat="1">
      <c r="A13" s="133" t="s">
        <v>411</v>
      </c>
      <c r="B13" s="134" t="s">
        <v>724</v>
      </c>
      <c r="C13" s="135" t="s">
        <v>715</v>
      </c>
      <c r="D13" s="135"/>
      <c r="E13" s="135" t="s">
        <v>722</v>
      </c>
      <c r="F13" s="140">
        <v>7.2574779200000004</v>
      </c>
      <c r="G13" s="128"/>
      <c r="H13" s="133" t="s">
        <v>717</v>
      </c>
      <c r="I13" s="137">
        <f t="shared" si="0"/>
        <v>2.1537687308154885</v>
      </c>
      <c r="J13" s="138">
        <v>35.549539777311502</v>
      </c>
      <c r="K13" s="138">
        <v>20.6352959005389</v>
      </c>
      <c r="L13" s="139" t="s">
        <v>710</v>
      </c>
      <c r="M13" s="121"/>
      <c r="N13" s="121"/>
      <c r="O13" s="121"/>
      <c r="P13" s="121"/>
      <c r="Q13" s="121"/>
      <c r="R13" s="121"/>
      <c r="S13" s="121"/>
      <c r="T13" s="121"/>
      <c r="U13" s="121"/>
      <c r="V13" s="121"/>
      <c r="W13" s="121"/>
      <c r="X13" s="121"/>
      <c r="Y13" s="121"/>
      <c r="Z13" s="121"/>
      <c r="AA13" s="121"/>
      <c r="AB13" s="121"/>
      <c r="AC13" s="121"/>
      <c r="AD13" s="121"/>
      <c r="AE13" s="121"/>
      <c r="AF13" s="121"/>
      <c r="AG13" s="121"/>
      <c r="AH13" s="121"/>
      <c r="AI13" s="121"/>
      <c r="AMD13"/>
      <c r="AME13"/>
      <c r="AMF13"/>
      <c r="AMG13"/>
      <c r="AMH13"/>
      <c r="AMI13"/>
      <c r="AMJ13"/>
    </row>
    <row r="14" spans="1:1024" s="122" customFormat="1">
      <c r="A14" s="133" t="s">
        <v>411</v>
      </c>
      <c r="B14" s="134" t="s">
        <v>725</v>
      </c>
      <c r="C14" s="135" t="s">
        <v>715</v>
      </c>
      <c r="D14" s="135"/>
      <c r="E14" s="135" t="s">
        <v>722</v>
      </c>
      <c r="F14" s="140">
        <v>2.9483504049999998</v>
      </c>
      <c r="G14" s="128"/>
      <c r="H14" s="133" t="s">
        <v>717</v>
      </c>
      <c r="I14" s="137">
        <f t="shared" si="0"/>
        <v>0.87496854689379211</v>
      </c>
      <c r="J14" s="138">
        <v>40.700725326438899</v>
      </c>
      <c r="K14" s="138">
        <v>36.9784502537657</v>
      </c>
      <c r="L14" s="139" t="s">
        <v>710</v>
      </c>
      <c r="M14" s="121"/>
      <c r="N14" s="121"/>
      <c r="O14" s="121"/>
      <c r="P14" s="121"/>
      <c r="Q14" s="121"/>
      <c r="R14" s="121"/>
      <c r="S14" s="121"/>
      <c r="T14" s="121"/>
      <c r="U14" s="121"/>
      <c r="V14" s="121"/>
      <c r="W14" s="121"/>
      <c r="X14" s="121"/>
      <c r="Y14" s="121"/>
      <c r="Z14" s="121"/>
      <c r="AA14" s="121"/>
      <c r="AB14" s="121"/>
      <c r="AC14" s="121"/>
      <c r="AD14" s="121"/>
      <c r="AE14" s="121"/>
      <c r="AF14" s="121"/>
      <c r="AG14" s="121"/>
      <c r="AH14" s="121"/>
      <c r="AI14" s="121"/>
      <c r="AMD14"/>
      <c r="AME14"/>
      <c r="AMF14"/>
      <c r="AMG14"/>
      <c r="AMH14"/>
      <c r="AMI14"/>
      <c r="AMJ14"/>
    </row>
    <row r="15" spans="1:1024" s="122" customFormat="1">
      <c r="A15" s="133" t="s">
        <v>411</v>
      </c>
      <c r="B15" s="134" t="s">
        <v>726</v>
      </c>
      <c r="C15" s="135" t="s">
        <v>715</v>
      </c>
      <c r="D15" s="135"/>
      <c r="E15" s="135" t="s">
        <v>722</v>
      </c>
      <c r="F15" s="140">
        <v>125.19149412</v>
      </c>
      <c r="G15" s="128"/>
      <c r="H15" s="133" t="s">
        <v>717</v>
      </c>
      <c r="I15" s="137">
        <f t="shared" si="0"/>
        <v>37.152510606567176</v>
      </c>
      <c r="J15" s="138">
        <v>16.686437163196</v>
      </c>
      <c r="K15" s="138">
        <v>10.200524945416699</v>
      </c>
      <c r="L15" s="139" t="s">
        <v>710</v>
      </c>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MD15"/>
      <c r="AME15"/>
      <c r="AMF15"/>
      <c r="AMG15"/>
      <c r="AMH15"/>
      <c r="AMI15"/>
      <c r="AMJ15"/>
    </row>
    <row r="16" spans="1:1024" s="122" customFormat="1">
      <c r="A16" s="133" t="s">
        <v>411</v>
      </c>
      <c r="B16" s="134" t="s">
        <v>727</v>
      </c>
      <c r="C16" s="135" t="s">
        <v>715</v>
      </c>
      <c r="D16" s="135"/>
      <c r="E16" s="135" t="s">
        <v>722</v>
      </c>
      <c r="F16" s="140">
        <v>80.285849490000004</v>
      </c>
      <c r="G16" s="128"/>
      <c r="H16" s="133" t="s">
        <v>717</v>
      </c>
      <c r="I16" s="137">
        <f t="shared" si="0"/>
        <v>23.826066584646341</v>
      </c>
      <c r="J16" s="138">
        <v>21.024875625314898</v>
      </c>
      <c r="K16" s="138">
        <v>12.466281426443301</v>
      </c>
      <c r="L16" s="139" t="s">
        <v>710</v>
      </c>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MD16"/>
      <c r="AME16"/>
      <c r="AMF16"/>
      <c r="AMG16"/>
      <c r="AMH16"/>
      <c r="AMI16"/>
      <c r="AMJ16"/>
    </row>
    <row r="17" spans="1:1024" s="122" customFormat="1">
      <c r="A17" s="133" t="s">
        <v>411</v>
      </c>
      <c r="B17" s="134" t="s">
        <v>728</v>
      </c>
      <c r="C17" s="135" t="s">
        <v>715</v>
      </c>
      <c r="D17" s="135" t="s">
        <v>716</v>
      </c>
      <c r="E17" s="135"/>
      <c r="F17" s="140">
        <v>167.37558453</v>
      </c>
      <c r="G17" s="128"/>
      <c r="H17" s="133" t="s">
        <v>717</v>
      </c>
      <c r="I17" s="137">
        <f t="shared" si="0"/>
        <v>49.671291354432199</v>
      </c>
      <c r="J17" s="138">
        <v>16.0596899933049</v>
      </c>
      <c r="K17" s="138">
        <v>8.9371687278377401</v>
      </c>
      <c r="L17" s="139" t="s">
        <v>710</v>
      </c>
      <c r="M17" s="121"/>
      <c r="N17" s="121"/>
      <c r="O17" s="121"/>
      <c r="P17" s="121"/>
      <c r="Q17" s="121"/>
      <c r="R17" s="121"/>
      <c r="S17" s="121"/>
      <c r="T17" s="121"/>
      <c r="U17" s="121"/>
      <c r="V17" s="121"/>
      <c r="W17" s="121"/>
      <c r="X17" s="121"/>
      <c r="Y17" s="121"/>
      <c r="Z17" s="121"/>
      <c r="AA17" s="121"/>
      <c r="AB17" s="121"/>
      <c r="AC17" s="121"/>
      <c r="AD17" s="121"/>
      <c r="AE17" s="121"/>
      <c r="AF17" s="121"/>
      <c r="AG17" s="121"/>
      <c r="AH17" s="121"/>
      <c r="AI17" s="121"/>
      <c r="AMD17"/>
      <c r="AME17"/>
      <c r="AMF17"/>
      <c r="AMG17"/>
      <c r="AMH17"/>
      <c r="AMI17"/>
      <c r="AMJ17"/>
    </row>
    <row r="18" spans="1:1024" s="122" customFormat="1">
      <c r="A18" s="133" t="s">
        <v>411</v>
      </c>
      <c r="B18" s="134" t="s">
        <v>729</v>
      </c>
      <c r="C18" s="135" t="s">
        <v>715</v>
      </c>
      <c r="D18" s="135" t="s">
        <v>716</v>
      </c>
      <c r="E18" s="135"/>
      <c r="F18" s="140">
        <v>90.718474000000001</v>
      </c>
      <c r="G18" s="128"/>
      <c r="H18" s="133" t="s">
        <v>717</v>
      </c>
      <c r="I18" s="137">
        <f t="shared" si="0"/>
        <v>26.922109135193605</v>
      </c>
      <c r="J18" s="138">
        <v>20.6021984011768</v>
      </c>
      <c r="K18" s="138">
        <v>9.6521422260647594</v>
      </c>
      <c r="L18" s="139" t="s">
        <v>710</v>
      </c>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MD18"/>
      <c r="AME18"/>
      <c r="AMF18"/>
      <c r="AMG18"/>
      <c r="AMH18"/>
      <c r="AMI18"/>
      <c r="AMJ18"/>
    </row>
    <row r="19" spans="1:1024" s="122" customFormat="1">
      <c r="A19" s="133" t="s">
        <v>411</v>
      </c>
      <c r="B19" s="134" t="s">
        <v>730</v>
      </c>
      <c r="C19" s="135" t="s">
        <v>715</v>
      </c>
      <c r="D19" s="135" t="s">
        <v>716</v>
      </c>
      <c r="E19" s="135"/>
      <c r="F19" s="140">
        <v>161.93247608999999</v>
      </c>
      <c r="G19" s="128"/>
      <c r="H19" s="133" t="s">
        <v>717</v>
      </c>
      <c r="I19" s="137">
        <f t="shared" si="0"/>
        <v>48.055964806320581</v>
      </c>
      <c r="J19" s="138">
        <v>13.362106147212501</v>
      </c>
      <c r="K19" s="138">
        <v>10.0651636447712</v>
      </c>
      <c r="L19" s="139" t="s">
        <v>710</v>
      </c>
      <c r="M19" s="121"/>
      <c r="N19" s="121"/>
      <c r="O19" s="121"/>
      <c r="P19" s="121"/>
      <c r="Q19" s="121"/>
      <c r="R19" s="121"/>
      <c r="S19" s="121"/>
      <c r="T19" s="121"/>
      <c r="U19" s="121"/>
      <c r="V19" s="121"/>
      <c r="W19" s="121"/>
      <c r="X19" s="121"/>
      <c r="Y19" s="121"/>
      <c r="Z19" s="121"/>
      <c r="AA19" s="121"/>
      <c r="AB19" s="121"/>
      <c r="AC19" s="121"/>
      <c r="AD19" s="121"/>
      <c r="AE19" s="121"/>
      <c r="AF19" s="121"/>
      <c r="AG19" s="121"/>
      <c r="AH19" s="121"/>
      <c r="AI19" s="121"/>
      <c r="AMD19"/>
      <c r="AME19"/>
      <c r="AMF19"/>
      <c r="AMG19"/>
      <c r="AMH19"/>
      <c r="AMI19"/>
      <c r="AMJ19"/>
    </row>
    <row r="20" spans="1:1024" s="122" customFormat="1">
      <c r="A20" s="133" t="s">
        <v>411</v>
      </c>
      <c r="B20" s="134" t="s">
        <v>731</v>
      </c>
      <c r="C20" s="135" t="s">
        <v>732</v>
      </c>
      <c r="D20" s="135"/>
      <c r="E20" s="135"/>
      <c r="F20" s="140">
        <v>23.586803239999998</v>
      </c>
      <c r="G20" s="128"/>
      <c r="H20" s="133" t="s">
        <v>717</v>
      </c>
      <c r="I20" s="137">
        <f t="shared" si="0"/>
        <v>6.9997483751503369</v>
      </c>
      <c r="J20" s="138">
        <v>0.49518809459954999</v>
      </c>
      <c r="K20" s="138"/>
      <c r="L20" s="139" t="s">
        <v>710</v>
      </c>
      <c r="M20" s="121"/>
      <c r="N20" s="121"/>
      <c r="O20" s="121"/>
      <c r="P20" s="121"/>
      <c r="Q20" s="121"/>
      <c r="R20" s="121"/>
      <c r="S20" s="121"/>
      <c r="T20" s="121"/>
      <c r="U20" s="121"/>
      <c r="V20" s="121"/>
      <c r="W20" s="121"/>
      <c r="X20" s="121"/>
      <c r="Y20" s="121"/>
      <c r="Z20" s="121"/>
      <c r="AA20" s="121"/>
      <c r="AB20" s="121"/>
      <c r="AC20" s="121"/>
      <c r="AD20" s="121"/>
      <c r="AE20" s="121"/>
      <c r="AF20" s="121"/>
      <c r="AG20" s="121"/>
      <c r="AH20" s="121"/>
      <c r="AI20" s="121"/>
      <c r="AMD20"/>
      <c r="AME20"/>
      <c r="AMF20"/>
      <c r="AMG20"/>
      <c r="AMH20"/>
      <c r="AMI20"/>
      <c r="AMJ20"/>
    </row>
    <row r="21" spans="1:1024" s="122" customFormat="1">
      <c r="A21" s="133" t="s">
        <v>411</v>
      </c>
      <c r="B21" s="134" t="s">
        <v>733</v>
      </c>
      <c r="C21" s="135" t="s">
        <v>732</v>
      </c>
      <c r="D21" s="135"/>
      <c r="E21" s="135"/>
      <c r="F21" s="140">
        <v>14.06136347</v>
      </c>
      <c r="G21" s="128"/>
      <c r="H21" s="133" t="s">
        <v>717</v>
      </c>
      <c r="I21" s="137">
        <f t="shared" si="0"/>
        <v>4.1729269159550082</v>
      </c>
      <c r="J21" s="138">
        <v>0.50576339968309603</v>
      </c>
      <c r="K21" s="138"/>
      <c r="L21" s="139" t="s">
        <v>710</v>
      </c>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MD21"/>
      <c r="AME21"/>
      <c r="AMF21"/>
      <c r="AMG21"/>
      <c r="AMH21"/>
      <c r="AMI21"/>
      <c r="AMJ21"/>
    </row>
    <row r="22" spans="1:1024" s="122" customFormat="1">
      <c r="A22" s="133" t="s">
        <v>411</v>
      </c>
      <c r="B22" s="134" t="s">
        <v>734</v>
      </c>
      <c r="C22" s="135" t="s">
        <v>715</v>
      </c>
      <c r="D22" s="135"/>
      <c r="E22" s="135"/>
      <c r="F22" s="140">
        <v>2.5</v>
      </c>
      <c r="G22" s="128"/>
      <c r="H22" s="133" t="s">
        <v>717</v>
      </c>
      <c r="I22" s="137">
        <f t="shared" si="0"/>
        <v>0.74191363534161758</v>
      </c>
      <c r="J22" s="138">
        <v>10</v>
      </c>
      <c r="K22" s="138"/>
      <c r="L22" s="139" t="s">
        <v>710</v>
      </c>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MD22"/>
      <c r="AME22"/>
      <c r="AMF22"/>
      <c r="AMG22"/>
      <c r="AMH22"/>
      <c r="AMI22"/>
      <c r="AMJ22"/>
    </row>
    <row r="23" spans="1:1024" s="122" customFormat="1">
      <c r="A23" s="133" t="s">
        <v>411</v>
      </c>
      <c r="B23" s="134" t="s">
        <v>735</v>
      </c>
      <c r="C23" s="135" t="s">
        <v>715</v>
      </c>
      <c r="D23" s="135"/>
      <c r="E23" s="135"/>
      <c r="F23" s="140">
        <v>2</v>
      </c>
      <c r="G23" s="128"/>
      <c r="H23" s="133" t="s">
        <v>717</v>
      </c>
      <c r="I23" s="137">
        <f t="shared" si="0"/>
        <v>0.59353090827329402</v>
      </c>
      <c r="J23" s="138">
        <v>10</v>
      </c>
      <c r="K23" s="138"/>
      <c r="L23" s="139" t="s">
        <v>710</v>
      </c>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MD23"/>
      <c r="AME23"/>
      <c r="AMF23"/>
      <c r="AMG23"/>
      <c r="AMH23"/>
      <c r="AMI23"/>
      <c r="AMJ23"/>
    </row>
    <row r="24" spans="1:1024" s="122" customFormat="1">
      <c r="A24" s="133" t="s">
        <v>411</v>
      </c>
      <c r="B24" s="134" t="s">
        <v>736</v>
      </c>
      <c r="C24" s="135" t="s">
        <v>737</v>
      </c>
      <c r="D24" s="135"/>
      <c r="E24" s="135"/>
      <c r="F24" s="140">
        <v>3559</v>
      </c>
      <c r="G24" s="128"/>
      <c r="H24" s="133" t="s">
        <v>717</v>
      </c>
      <c r="I24" s="137">
        <f t="shared" si="0"/>
        <v>1056.1882512723266</v>
      </c>
      <c r="J24" s="141">
        <v>13.986236977487099</v>
      </c>
      <c r="K24" s="142"/>
      <c r="L24" s="139" t="s">
        <v>738</v>
      </c>
      <c r="M24" s="121"/>
      <c r="N24" s="121"/>
      <c r="O24" s="121"/>
      <c r="P24" s="121"/>
      <c r="Q24" s="121"/>
      <c r="R24" s="121"/>
      <c r="S24" s="121"/>
      <c r="T24" s="121"/>
      <c r="U24" s="121"/>
      <c r="V24" s="121"/>
      <c r="W24" s="121"/>
      <c r="X24" s="121"/>
      <c r="Y24" s="121"/>
      <c r="Z24" s="121"/>
      <c r="AA24" s="121"/>
      <c r="AB24" s="121"/>
      <c r="AC24" s="121"/>
      <c r="AD24" s="121"/>
      <c r="AE24" s="121"/>
      <c r="AF24" s="121"/>
      <c r="AG24" s="121"/>
      <c r="AH24" s="121"/>
      <c r="AI24" s="121"/>
      <c r="AMD24"/>
      <c r="AME24"/>
      <c r="AMF24"/>
      <c r="AMG24"/>
      <c r="AMH24"/>
      <c r="AMI24"/>
      <c r="AMJ24"/>
    </row>
    <row r="25" spans="1:1024" s="122" customFormat="1">
      <c r="A25" s="133" t="s">
        <v>411</v>
      </c>
      <c r="B25" s="134" t="s">
        <v>739</v>
      </c>
      <c r="C25" s="135" t="s">
        <v>715</v>
      </c>
      <c r="D25" s="135"/>
      <c r="E25" s="135" t="s">
        <v>722</v>
      </c>
      <c r="F25" s="140">
        <v>2200</v>
      </c>
      <c r="G25" s="128"/>
      <c r="H25" s="133" t="s">
        <v>717</v>
      </c>
      <c r="I25" s="137">
        <f t="shared" si="0"/>
        <v>652.88399910062344</v>
      </c>
      <c r="J25" s="143">
        <v>11.6793318685434</v>
      </c>
      <c r="K25" s="143">
        <v>4.70685292858062</v>
      </c>
      <c r="L25" s="139" t="s">
        <v>710</v>
      </c>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MD25"/>
      <c r="AME25"/>
      <c r="AMF25"/>
      <c r="AMG25"/>
      <c r="AMH25"/>
      <c r="AMI25"/>
      <c r="AMJ25"/>
    </row>
    <row r="26" spans="1:1024" s="122" customFormat="1">
      <c r="A26" s="133" t="s">
        <v>411</v>
      </c>
      <c r="B26" s="134" t="s">
        <v>740</v>
      </c>
      <c r="C26" s="135" t="s">
        <v>715</v>
      </c>
      <c r="D26" s="135"/>
      <c r="E26" s="135" t="s">
        <v>722</v>
      </c>
      <c r="F26" s="140">
        <v>1166</v>
      </c>
      <c r="G26" s="128"/>
      <c r="H26" s="133" t="s">
        <v>717</v>
      </c>
      <c r="I26" s="137">
        <f t="shared" si="0"/>
        <v>346.02851952333043</v>
      </c>
      <c r="J26" s="143">
        <v>6.6502257070966797</v>
      </c>
      <c r="K26" s="143">
        <v>4.2319848874572701</v>
      </c>
      <c r="L26" s="139" t="s">
        <v>710</v>
      </c>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MD26"/>
      <c r="AME26"/>
      <c r="AMF26"/>
      <c r="AMG26"/>
      <c r="AMH26"/>
      <c r="AMI26"/>
      <c r="AMJ26"/>
    </row>
    <row r="27" spans="1:1024" s="122" customFormat="1">
      <c r="A27" s="133" t="s">
        <v>411</v>
      </c>
      <c r="B27" s="134" t="s">
        <v>741</v>
      </c>
      <c r="C27" s="135" t="s">
        <v>715</v>
      </c>
      <c r="D27" s="135"/>
      <c r="E27" s="135" t="s">
        <v>722</v>
      </c>
      <c r="F27" s="140">
        <v>44</v>
      </c>
      <c r="G27" s="128"/>
      <c r="H27" s="133" t="s">
        <v>717</v>
      </c>
      <c r="I27" s="137">
        <f t="shared" si="0"/>
        <v>13.057679982012468</v>
      </c>
      <c r="J27" s="138">
        <v>8.4743203252259391</v>
      </c>
      <c r="K27" s="138">
        <v>6.4825766990444196</v>
      </c>
      <c r="L27" s="139" t="s">
        <v>710</v>
      </c>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MD27"/>
      <c r="AME27"/>
      <c r="AMF27"/>
      <c r="AMG27"/>
      <c r="AMH27"/>
      <c r="AMI27"/>
      <c r="AMJ27"/>
    </row>
    <row r="28" spans="1:1024" s="122" customFormat="1">
      <c r="A28" s="133" t="s">
        <v>411</v>
      </c>
      <c r="B28" s="134" t="s">
        <v>742</v>
      </c>
      <c r="C28" s="135" t="s">
        <v>715</v>
      </c>
      <c r="D28" s="135"/>
      <c r="E28" s="135" t="s">
        <v>722</v>
      </c>
      <c r="F28" s="140">
        <v>15</v>
      </c>
      <c r="G28" s="128"/>
      <c r="H28" s="133" t="s">
        <v>717</v>
      </c>
      <c r="I28" s="137">
        <f t="shared" si="0"/>
        <v>4.4514818120497051</v>
      </c>
      <c r="J28" s="138">
        <v>14.6187038166672</v>
      </c>
      <c r="K28" s="138">
        <v>6.4825766990444196</v>
      </c>
      <c r="L28" s="139" t="s">
        <v>710</v>
      </c>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MD28"/>
      <c r="AME28"/>
      <c r="AMF28"/>
      <c r="AMG28"/>
      <c r="AMH28"/>
      <c r="AMI28"/>
      <c r="AMJ28"/>
    </row>
    <row r="29" spans="1:1024" s="122" customFormat="1">
      <c r="A29" s="133" t="s">
        <v>411</v>
      </c>
      <c r="B29" s="134" t="s">
        <v>743</v>
      </c>
      <c r="C29" s="135" t="s">
        <v>715</v>
      </c>
      <c r="D29" s="135"/>
      <c r="E29" s="135"/>
      <c r="F29" s="140">
        <v>70</v>
      </c>
      <c r="G29" s="128"/>
      <c r="H29" s="133" t="s">
        <v>717</v>
      </c>
      <c r="I29" s="137">
        <f t="shared" si="0"/>
        <v>20.773581789565291</v>
      </c>
      <c r="J29" s="138">
        <v>112.93</v>
      </c>
      <c r="K29" s="138">
        <v>57.29</v>
      </c>
      <c r="L29" s="139" t="s">
        <v>710</v>
      </c>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MD29"/>
      <c r="AME29"/>
      <c r="AMF29"/>
      <c r="AMG29"/>
      <c r="AMH29"/>
      <c r="AMI29"/>
      <c r="AMJ29"/>
    </row>
    <row r="30" spans="1:1024" s="122" customFormat="1">
      <c r="A30" s="133" t="s">
        <v>411</v>
      </c>
      <c r="B30" s="134" t="s">
        <v>744</v>
      </c>
      <c r="C30" s="135" t="s">
        <v>708</v>
      </c>
      <c r="D30" s="135" t="s">
        <v>716</v>
      </c>
      <c r="E30" s="135"/>
      <c r="F30" s="140">
        <v>73.946866178600004</v>
      </c>
      <c r="G30" s="128"/>
      <c r="H30" s="133" t="s">
        <v>709</v>
      </c>
      <c r="I30" s="137">
        <f t="shared" si="0"/>
        <v>21.944875323474093</v>
      </c>
      <c r="J30" s="138">
        <v>2.8939698334630801</v>
      </c>
      <c r="K30" s="138">
        <v>3.0186868065865999</v>
      </c>
      <c r="L30" s="139" t="s">
        <v>710</v>
      </c>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MD30"/>
      <c r="AME30"/>
      <c r="AMF30"/>
      <c r="AMG30"/>
      <c r="AMH30"/>
      <c r="AMI30"/>
      <c r="AMJ30"/>
    </row>
    <row r="31" spans="1:1024" s="122" customFormat="1">
      <c r="A31" s="133" t="s">
        <v>411</v>
      </c>
      <c r="B31" s="134" t="s">
        <v>745</v>
      </c>
      <c r="C31" s="135" t="s">
        <v>708</v>
      </c>
      <c r="D31" s="135">
        <v>40</v>
      </c>
      <c r="E31" s="135"/>
      <c r="F31" s="140">
        <v>60.389692685200004</v>
      </c>
      <c r="G31" s="128"/>
      <c r="H31" s="133" t="s">
        <v>709</v>
      </c>
      <c r="I31" s="137">
        <f t="shared" si="0"/>
        <v>17.921574574895928</v>
      </c>
      <c r="J31" s="138">
        <v>2.2023625901410702</v>
      </c>
      <c r="K31" s="138">
        <v>3.0186868065865999</v>
      </c>
      <c r="L31" s="139" t="s">
        <v>710</v>
      </c>
      <c r="M31" s="121"/>
      <c r="N31" s="121"/>
      <c r="O31" s="121"/>
      <c r="P31" s="121"/>
      <c r="Q31" s="121"/>
      <c r="R31" s="121"/>
      <c r="S31" s="121"/>
      <c r="T31" s="121"/>
      <c r="U31" s="121"/>
      <c r="V31" s="121"/>
      <c r="W31" s="121"/>
      <c r="X31" s="121"/>
      <c r="Y31" s="121"/>
      <c r="Z31" s="121"/>
      <c r="AA31" s="121"/>
      <c r="AB31" s="121"/>
      <c r="AC31" s="121"/>
      <c r="AD31" s="121"/>
      <c r="AE31" s="121"/>
      <c r="AF31" s="121"/>
      <c r="AG31" s="121"/>
      <c r="AH31" s="121"/>
      <c r="AI31" s="121"/>
      <c r="AMD31"/>
      <c r="AME31"/>
      <c r="AMF31"/>
      <c r="AMG31"/>
      <c r="AMH31"/>
      <c r="AMI31"/>
      <c r="AMJ31"/>
    </row>
    <row r="32" spans="1:1024" s="122" customFormat="1">
      <c r="A32" s="133" t="s">
        <v>411</v>
      </c>
      <c r="B32" s="134" t="s">
        <v>746</v>
      </c>
      <c r="C32" s="135" t="s">
        <v>708</v>
      </c>
      <c r="D32" s="135">
        <v>40</v>
      </c>
      <c r="E32" s="135"/>
      <c r="F32" s="140">
        <v>42.59</v>
      </c>
      <c r="G32" s="128"/>
      <c r="H32" s="133" t="s">
        <v>717</v>
      </c>
      <c r="I32" s="137">
        <f t="shared" si="0"/>
        <v>12.639240691679797</v>
      </c>
      <c r="J32" s="138">
        <v>2.2070259893299502</v>
      </c>
      <c r="K32" s="138">
        <v>3.0186868065865999</v>
      </c>
      <c r="L32" s="139" t="s">
        <v>710</v>
      </c>
      <c r="M32" s="121"/>
      <c r="N32" s="121"/>
      <c r="O32" s="121"/>
      <c r="P32" s="121"/>
      <c r="Q32" s="121"/>
      <c r="R32" s="121"/>
      <c r="S32" s="121"/>
      <c r="T32" s="121"/>
      <c r="U32" s="121"/>
      <c r="V32" s="121"/>
      <c r="W32" s="121"/>
      <c r="X32" s="121"/>
      <c r="Y32" s="121"/>
      <c r="Z32" s="121"/>
      <c r="AA32" s="121"/>
      <c r="AB32" s="121"/>
      <c r="AC32" s="121"/>
      <c r="AD32" s="121"/>
      <c r="AE32" s="121"/>
      <c r="AF32" s="121"/>
      <c r="AG32" s="121"/>
      <c r="AH32" s="121"/>
      <c r="AI32" s="121"/>
      <c r="AMD32"/>
      <c r="AME32"/>
      <c r="AMF32"/>
      <c r="AMG32"/>
      <c r="AMH32"/>
      <c r="AMI32"/>
      <c r="AMJ32"/>
    </row>
    <row r="33" spans="1:1024" s="122" customFormat="1">
      <c r="A33" s="133" t="s">
        <v>411</v>
      </c>
      <c r="B33" s="134" t="s">
        <v>747</v>
      </c>
      <c r="C33" s="135" t="s">
        <v>715</v>
      </c>
      <c r="D33" s="135" t="s">
        <v>716</v>
      </c>
      <c r="E33" s="135"/>
      <c r="F33" s="140">
        <v>37.194574340000003</v>
      </c>
      <c r="G33" s="128"/>
      <c r="H33" s="133" t="s">
        <v>717</v>
      </c>
      <c r="I33" s="137">
        <f t="shared" si="0"/>
        <v>11.038064745429379</v>
      </c>
      <c r="J33" s="138">
        <v>50.545006452142701</v>
      </c>
      <c r="K33" s="138">
        <v>21.9960369378677</v>
      </c>
      <c r="L33" s="139" t="s">
        <v>710</v>
      </c>
      <c r="M33" s="121"/>
      <c r="N33" s="121"/>
      <c r="O33" s="121"/>
      <c r="P33" s="121"/>
      <c r="Q33" s="121"/>
      <c r="R33" s="121"/>
      <c r="S33" s="121"/>
      <c r="T33" s="121"/>
      <c r="U33" s="121"/>
      <c r="V33" s="121"/>
      <c r="W33" s="121"/>
      <c r="X33" s="121"/>
      <c r="Y33" s="121"/>
      <c r="Z33" s="121"/>
      <c r="AA33" s="121"/>
      <c r="AB33" s="121"/>
      <c r="AC33" s="121"/>
      <c r="AD33" s="121"/>
      <c r="AE33" s="121"/>
      <c r="AF33" s="121"/>
      <c r="AG33" s="121"/>
      <c r="AH33" s="121"/>
      <c r="AI33" s="121"/>
      <c r="AMD33"/>
      <c r="AME33"/>
      <c r="AMF33"/>
      <c r="AMG33"/>
      <c r="AMH33"/>
      <c r="AMI33"/>
      <c r="AMJ33"/>
    </row>
    <row r="34" spans="1:1024" s="122" customFormat="1">
      <c r="A34" s="133" t="s">
        <v>411</v>
      </c>
      <c r="B34" s="134" t="s">
        <v>748</v>
      </c>
      <c r="C34" s="135" t="s">
        <v>715</v>
      </c>
      <c r="D34" s="135" t="s">
        <v>716</v>
      </c>
      <c r="E34" s="135"/>
      <c r="F34" s="140">
        <v>23.586803239999998</v>
      </c>
      <c r="G34" s="128"/>
      <c r="H34" s="133" t="s">
        <v>717</v>
      </c>
      <c r="I34" s="137">
        <f t="shared" si="0"/>
        <v>6.9997483751503369</v>
      </c>
      <c r="J34" s="138">
        <v>65.078763933420603</v>
      </c>
      <c r="K34" s="138">
        <v>10.5922554996679</v>
      </c>
      <c r="L34" s="139" t="s">
        <v>710</v>
      </c>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MD34"/>
      <c r="AME34"/>
      <c r="AMF34"/>
      <c r="AMG34"/>
      <c r="AMH34"/>
      <c r="AMI34"/>
      <c r="AMJ34"/>
    </row>
    <row r="35" spans="1:1024" s="122" customFormat="1">
      <c r="A35" s="133" t="s">
        <v>411</v>
      </c>
      <c r="B35" s="134" t="s">
        <v>749</v>
      </c>
      <c r="C35" s="135" t="s">
        <v>715</v>
      </c>
      <c r="D35" s="135" t="s">
        <v>716</v>
      </c>
      <c r="E35" s="135"/>
      <c r="F35" s="140">
        <v>14.514955840000001</v>
      </c>
      <c r="G35" s="128"/>
      <c r="H35" s="133" t="s">
        <v>717</v>
      </c>
      <c r="I35" s="137">
        <f t="shared" ref="I35:I66" si="1">IF(A35="Equipos Rotativos",F35,F35*fac_piping)</f>
        <v>4.3075374616309769</v>
      </c>
      <c r="J35" s="138">
        <v>74.612696858194496</v>
      </c>
      <c r="K35" s="138">
        <v>11.1611562112593</v>
      </c>
      <c r="L35" s="139" t="s">
        <v>710</v>
      </c>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MD35"/>
      <c r="AME35"/>
      <c r="AMF35"/>
      <c r="AMG35"/>
      <c r="AMH35"/>
      <c r="AMI35"/>
      <c r="AMJ35"/>
    </row>
    <row r="36" spans="1:1024" s="122" customFormat="1">
      <c r="A36" s="133" t="s">
        <v>411</v>
      </c>
      <c r="B36" s="134" t="s">
        <v>750</v>
      </c>
      <c r="C36" s="135" t="s">
        <v>715</v>
      </c>
      <c r="D36" s="135"/>
      <c r="E36" s="135" t="s">
        <v>751</v>
      </c>
      <c r="F36" s="140">
        <v>63.502931799999999</v>
      </c>
      <c r="G36" s="128"/>
      <c r="H36" s="133" t="s">
        <v>717</v>
      </c>
      <c r="I36" s="137">
        <f t="shared" si="1"/>
        <v>18.845476394635522</v>
      </c>
      <c r="J36" s="138">
        <v>18.6920503723893</v>
      </c>
      <c r="K36" s="138">
        <v>5.5417210439425002</v>
      </c>
      <c r="L36" s="139" t="s">
        <v>710</v>
      </c>
      <c r="M36" s="121"/>
      <c r="N36" s="121"/>
      <c r="O36" s="121"/>
      <c r="P36" s="121"/>
      <c r="Q36" s="121"/>
      <c r="R36" s="121"/>
      <c r="S36" s="121"/>
      <c r="T36" s="121"/>
      <c r="U36" s="121"/>
      <c r="V36" s="121"/>
      <c r="W36" s="121"/>
      <c r="X36" s="121"/>
      <c r="Y36" s="121"/>
      <c r="Z36" s="121"/>
      <c r="AA36" s="121"/>
      <c r="AB36" s="121"/>
      <c r="AC36" s="121"/>
      <c r="AD36" s="121"/>
      <c r="AE36" s="121"/>
      <c r="AF36" s="121"/>
      <c r="AG36" s="121"/>
      <c r="AH36" s="121"/>
      <c r="AI36" s="121"/>
      <c r="AMD36"/>
      <c r="AME36"/>
      <c r="AMF36"/>
      <c r="AMG36"/>
      <c r="AMH36"/>
      <c r="AMI36"/>
      <c r="AMJ36"/>
    </row>
    <row r="37" spans="1:1024" s="122" customFormat="1">
      <c r="A37" s="133" t="s">
        <v>411</v>
      </c>
      <c r="B37" s="134" t="s">
        <v>752</v>
      </c>
      <c r="C37" s="135" t="s">
        <v>715</v>
      </c>
      <c r="D37" s="135"/>
      <c r="E37" s="135" t="s">
        <v>722</v>
      </c>
      <c r="F37" s="140">
        <v>25.401172720000002</v>
      </c>
      <c r="G37" s="128"/>
      <c r="H37" s="133" t="s">
        <v>717</v>
      </c>
      <c r="I37" s="137">
        <f t="shared" si="1"/>
        <v>7.5381905578542101</v>
      </c>
      <c r="J37" s="138">
        <v>6.8894456932774197</v>
      </c>
      <c r="K37" s="138">
        <v>5.5417210439425002</v>
      </c>
      <c r="L37" s="139" t="s">
        <v>710</v>
      </c>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MD37"/>
      <c r="AME37"/>
      <c r="AMF37"/>
      <c r="AMG37"/>
      <c r="AMH37"/>
      <c r="AMI37"/>
      <c r="AMJ37"/>
    </row>
    <row r="38" spans="1:1024" s="122" customFormat="1">
      <c r="A38" s="133" t="s">
        <v>411</v>
      </c>
      <c r="B38" s="134" t="s">
        <v>753</v>
      </c>
      <c r="C38" s="135" t="s">
        <v>715</v>
      </c>
      <c r="D38" s="135"/>
      <c r="E38" s="135" t="s">
        <v>751</v>
      </c>
      <c r="F38" s="140">
        <v>31.751465899999999</v>
      </c>
      <c r="G38" s="128"/>
      <c r="H38" s="133" t="s">
        <v>717</v>
      </c>
      <c r="I38" s="137">
        <f t="shared" si="1"/>
        <v>9.4227381973177611</v>
      </c>
      <c r="J38" s="138">
        <v>21.542312476350901</v>
      </c>
      <c r="K38" s="138">
        <v>5.5417210439425002</v>
      </c>
      <c r="L38" s="139" t="s">
        <v>710</v>
      </c>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MD38"/>
      <c r="AME38"/>
      <c r="AMF38"/>
      <c r="AMG38"/>
      <c r="AMH38"/>
      <c r="AMI38"/>
      <c r="AMJ38"/>
    </row>
    <row r="39" spans="1:1024" s="122" customFormat="1">
      <c r="A39" s="133" t="s">
        <v>411</v>
      </c>
      <c r="B39" s="134" t="s">
        <v>754</v>
      </c>
      <c r="C39" s="135" t="s">
        <v>715</v>
      </c>
      <c r="D39" s="135"/>
      <c r="E39" s="135" t="s">
        <v>751</v>
      </c>
      <c r="F39" s="140">
        <v>80.739441859999999</v>
      </c>
      <c r="G39" s="128"/>
      <c r="H39" s="133" t="s">
        <v>717</v>
      </c>
      <c r="I39" s="137">
        <f t="shared" si="1"/>
        <v>23.960677130322306</v>
      </c>
      <c r="J39" s="138">
        <v>16.522284143518402</v>
      </c>
      <c r="K39" s="138">
        <v>13.126994342044799</v>
      </c>
      <c r="L39" s="139" t="s">
        <v>710</v>
      </c>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MD39"/>
      <c r="AME39"/>
      <c r="AMF39"/>
      <c r="AMG39"/>
      <c r="AMH39"/>
      <c r="AMI39"/>
      <c r="AMJ39"/>
    </row>
    <row r="40" spans="1:1024" s="122" customFormat="1">
      <c r="A40" s="133" t="s">
        <v>411</v>
      </c>
      <c r="B40" s="134" t="s">
        <v>729</v>
      </c>
      <c r="C40" s="135" t="s">
        <v>715</v>
      </c>
      <c r="D40" s="135" t="s">
        <v>716</v>
      </c>
      <c r="E40" s="135"/>
      <c r="F40" s="140">
        <v>90.718474000000001</v>
      </c>
      <c r="G40" s="128"/>
      <c r="H40" s="133" t="s">
        <v>717</v>
      </c>
      <c r="I40" s="137">
        <f t="shared" si="1"/>
        <v>26.922109135193605</v>
      </c>
      <c r="J40" s="141">
        <v>20.6021984011768</v>
      </c>
      <c r="K40" s="141">
        <v>9.6521422260647594</v>
      </c>
      <c r="L40" s="139" t="s">
        <v>710</v>
      </c>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MD40"/>
      <c r="AME40"/>
      <c r="AMF40"/>
      <c r="AMG40"/>
      <c r="AMH40"/>
      <c r="AMI40"/>
      <c r="AMJ40"/>
    </row>
    <row r="41" spans="1:1024" s="122" customFormat="1">
      <c r="A41" s="133" t="s">
        <v>411</v>
      </c>
      <c r="B41" s="134" t="s">
        <v>755</v>
      </c>
      <c r="C41" s="135" t="s">
        <v>715</v>
      </c>
      <c r="D41" s="135" t="s">
        <v>716</v>
      </c>
      <c r="E41" s="135"/>
      <c r="F41" s="140">
        <v>58.059823360000003</v>
      </c>
      <c r="G41" s="128"/>
      <c r="H41" s="133" t="s">
        <v>717</v>
      </c>
      <c r="I41" s="137">
        <f t="shared" si="1"/>
        <v>17.230149846523908</v>
      </c>
      <c r="J41" s="141">
        <v>38.822026481618302</v>
      </c>
      <c r="K41" s="141">
        <v>10.134749337368</v>
      </c>
      <c r="L41" s="139" t="s">
        <v>710</v>
      </c>
      <c r="M41" s="121"/>
      <c r="N41" s="121"/>
      <c r="O41" s="121"/>
      <c r="P41" s="121"/>
      <c r="Q41" s="121"/>
      <c r="R41" s="121"/>
      <c r="S41" s="121"/>
      <c r="T41" s="121"/>
      <c r="U41" s="121"/>
      <c r="V41" s="121"/>
      <c r="W41" s="121"/>
      <c r="X41" s="121"/>
      <c r="Y41" s="121"/>
      <c r="Z41" s="121"/>
      <c r="AA41" s="121"/>
      <c r="AB41" s="121"/>
      <c r="AC41" s="121"/>
      <c r="AD41" s="121"/>
      <c r="AE41" s="121"/>
      <c r="AF41" s="121"/>
      <c r="AG41" s="121"/>
      <c r="AH41" s="121"/>
      <c r="AI41" s="121"/>
      <c r="AMD41"/>
      <c r="AME41"/>
      <c r="AMF41"/>
      <c r="AMG41"/>
      <c r="AMH41"/>
      <c r="AMI41"/>
      <c r="AMJ41"/>
    </row>
    <row r="42" spans="1:1024" s="122" customFormat="1">
      <c r="A42" s="133" t="s">
        <v>411</v>
      </c>
      <c r="B42" s="134" t="s">
        <v>756</v>
      </c>
      <c r="C42" s="135" t="s">
        <v>715</v>
      </c>
      <c r="D42" s="135" t="s">
        <v>716</v>
      </c>
      <c r="E42" s="135"/>
      <c r="F42" s="140">
        <v>109.76935354</v>
      </c>
      <c r="G42" s="128"/>
      <c r="H42" s="133" t="s">
        <v>717</v>
      </c>
      <c r="I42" s="137">
        <f t="shared" si="1"/>
        <v>32.57575205358426</v>
      </c>
      <c r="J42" s="138">
        <v>13.716320120302999</v>
      </c>
      <c r="K42" s="138">
        <v>9.6521422260647594</v>
      </c>
      <c r="L42" s="139" t="s">
        <v>710</v>
      </c>
      <c r="M42" s="121"/>
      <c r="N42" s="121"/>
      <c r="O42" s="121"/>
      <c r="P42" s="121"/>
      <c r="Q42" s="121"/>
      <c r="R42" s="121"/>
      <c r="S42" s="121"/>
      <c r="T42" s="121"/>
      <c r="U42" s="121"/>
      <c r="V42" s="121"/>
      <c r="W42" s="121"/>
      <c r="X42" s="121"/>
      <c r="Y42" s="121"/>
      <c r="Z42" s="121"/>
      <c r="AA42" s="121"/>
      <c r="AB42" s="121"/>
      <c r="AC42" s="121"/>
      <c r="AD42" s="121"/>
      <c r="AE42" s="121"/>
      <c r="AF42" s="121"/>
      <c r="AG42" s="121"/>
      <c r="AH42" s="121"/>
      <c r="AI42" s="121"/>
      <c r="AMD42"/>
      <c r="AME42"/>
      <c r="AMF42"/>
      <c r="AMG42"/>
      <c r="AMH42"/>
      <c r="AMI42"/>
      <c r="AMJ42"/>
    </row>
    <row r="43" spans="1:1024" s="122" customFormat="1">
      <c r="A43" s="133" t="s">
        <v>411</v>
      </c>
      <c r="B43" s="134" t="s">
        <v>757</v>
      </c>
      <c r="C43" s="135" t="s">
        <v>715</v>
      </c>
      <c r="D43" s="135" t="s">
        <v>716</v>
      </c>
      <c r="E43" s="135"/>
      <c r="F43" s="140">
        <v>63.956524170000002</v>
      </c>
      <c r="G43" s="128"/>
      <c r="H43" s="133" t="s">
        <v>717</v>
      </c>
      <c r="I43" s="137">
        <f t="shared" si="1"/>
        <v>18.980086940311491</v>
      </c>
      <c r="J43" s="138">
        <v>17.155512661861799</v>
      </c>
      <c r="K43" s="138">
        <v>10.6247040818989</v>
      </c>
      <c r="L43" s="139" t="s">
        <v>710</v>
      </c>
      <c r="M43" s="121"/>
      <c r="N43" s="121"/>
      <c r="O43" s="121"/>
      <c r="P43" s="121"/>
      <c r="Q43" s="121"/>
      <c r="R43" s="121"/>
      <c r="S43" s="121"/>
      <c r="T43" s="121"/>
      <c r="U43" s="121"/>
      <c r="V43" s="121"/>
      <c r="W43" s="121"/>
      <c r="X43" s="121"/>
      <c r="Y43" s="121"/>
      <c r="Z43" s="121"/>
      <c r="AA43" s="121"/>
      <c r="AB43" s="121"/>
      <c r="AC43" s="121"/>
      <c r="AD43" s="121"/>
      <c r="AE43" s="121"/>
      <c r="AF43" s="121"/>
      <c r="AG43" s="121"/>
      <c r="AH43" s="121"/>
      <c r="AI43" s="121"/>
      <c r="AMD43"/>
      <c r="AME43"/>
      <c r="AMF43"/>
      <c r="AMG43"/>
      <c r="AMH43"/>
      <c r="AMI43"/>
      <c r="AMJ43"/>
    </row>
    <row r="44" spans="1:1024" s="122" customFormat="1">
      <c r="A44" s="133" t="s">
        <v>411</v>
      </c>
      <c r="B44" s="134" t="s">
        <v>758</v>
      </c>
      <c r="C44" s="135" t="s">
        <v>732</v>
      </c>
      <c r="D44" s="135"/>
      <c r="E44" s="135"/>
      <c r="F44" s="140">
        <v>14.06136347</v>
      </c>
      <c r="G44" s="128"/>
      <c r="H44" s="133" t="s">
        <v>717</v>
      </c>
      <c r="I44" s="137">
        <f t="shared" si="1"/>
        <v>4.1729269159550082</v>
      </c>
      <c r="J44" s="138">
        <v>0.50613709807210405</v>
      </c>
      <c r="K44" s="138"/>
      <c r="L44" s="139" t="s">
        <v>710</v>
      </c>
      <c r="M44" s="121"/>
      <c r="N44" s="121"/>
      <c r="O44" s="121"/>
      <c r="P44" s="121"/>
      <c r="Q44" s="121"/>
      <c r="R44" s="121"/>
      <c r="S44" s="121"/>
      <c r="T44" s="121"/>
      <c r="U44" s="121"/>
      <c r="V44" s="121"/>
      <c r="W44" s="121"/>
      <c r="X44" s="121"/>
      <c r="Y44" s="121"/>
      <c r="Z44" s="121"/>
      <c r="AA44" s="121"/>
      <c r="AB44" s="121"/>
      <c r="AC44" s="121"/>
      <c r="AD44" s="121"/>
      <c r="AE44" s="121"/>
      <c r="AF44" s="121"/>
      <c r="AG44" s="121"/>
      <c r="AH44" s="121"/>
      <c r="AI44" s="121"/>
      <c r="AMD44"/>
      <c r="AME44"/>
      <c r="AMF44"/>
      <c r="AMG44"/>
      <c r="AMH44"/>
      <c r="AMI44"/>
      <c r="AMJ44"/>
    </row>
    <row r="45" spans="1:1024" s="122" customFormat="1">
      <c r="A45" s="133" t="s">
        <v>411</v>
      </c>
      <c r="B45" s="134" t="s">
        <v>759</v>
      </c>
      <c r="C45" s="135" t="s">
        <v>732</v>
      </c>
      <c r="D45" s="135"/>
      <c r="E45" s="135"/>
      <c r="F45" s="140">
        <v>22.226026130000001</v>
      </c>
      <c r="G45" s="128"/>
      <c r="H45" s="133" t="s">
        <v>717</v>
      </c>
      <c r="I45" s="137">
        <f t="shared" si="1"/>
        <v>6.5959167381224333</v>
      </c>
      <c r="J45" s="144">
        <v>0.46</v>
      </c>
      <c r="K45" s="142"/>
      <c r="L45" s="139" t="s">
        <v>710</v>
      </c>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MD45"/>
      <c r="AME45"/>
      <c r="AMF45"/>
      <c r="AMG45"/>
      <c r="AMH45"/>
      <c r="AMI45"/>
      <c r="AMJ45"/>
    </row>
    <row r="46" spans="1:1024" s="122" customFormat="1">
      <c r="A46" s="133" t="s">
        <v>411</v>
      </c>
      <c r="B46" s="134" t="s">
        <v>760</v>
      </c>
      <c r="C46" s="135" t="s">
        <v>732</v>
      </c>
      <c r="D46" s="135"/>
      <c r="E46" s="135"/>
      <c r="F46" s="140">
        <v>6.8038855500000004</v>
      </c>
      <c r="G46" s="128"/>
      <c r="H46" s="133" t="s">
        <v>717</v>
      </c>
      <c r="I46" s="137">
        <f t="shared" si="1"/>
        <v>2.0191581851395206</v>
      </c>
      <c r="J46" s="144">
        <v>0.72</v>
      </c>
      <c r="K46" s="138"/>
      <c r="L46" s="139" t="s">
        <v>710</v>
      </c>
      <c r="M46" s="121"/>
      <c r="N46" s="121"/>
      <c r="O46" s="121"/>
      <c r="P46" s="121"/>
      <c r="Q46" s="121"/>
      <c r="R46" s="121"/>
      <c r="S46" s="121"/>
      <c r="T46" s="121"/>
      <c r="U46" s="121"/>
      <c r="V46" s="121"/>
      <c r="W46" s="121"/>
      <c r="X46" s="121"/>
      <c r="Y46" s="121"/>
      <c r="Z46" s="121"/>
      <c r="AA46" s="121"/>
      <c r="AB46" s="121"/>
      <c r="AC46" s="121"/>
      <c r="AD46" s="121"/>
      <c r="AE46" s="121"/>
      <c r="AF46" s="121"/>
      <c r="AG46" s="121"/>
      <c r="AH46" s="121"/>
      <c r="AI46" s="121"/>
      <c r="AMD46"/>
      <c r="AME46"/>
      <c r="AMF46"/>
      <c r="AMG46"/>
      <c r="AMH46"/>
      <c r="AMI46"/>
      <c r="AMJ46"/>
    </row>
    <row r="47" spans="1:1024" s="122" customFormat="1">
      <c r="A47" s="133" t="s">
        <v>411</v>
      </c>
      <c r="B47" s="134" t="s">
        <v>761</v>
      </c>
      <c r="C47" s="135" t="s">
        <v>732</v>
      </c>
      <c r="D47" s="135"/>
      <c r="E47" s="135"/>
      <c r="F47" s="140">
        <v>8.1646626599999994</v>
      </c>
      <c r="G47" s="128"/>
      <c r="H47" s="133" t="s">
        <v>717</v>
      </c>
      <c r="I47" s="137">
        <f t="shared" si="1"/>
        <v>2.4229898221674242</v>
      </c>
      <c r="J47" s="144">
        <v>0.65</v>
      </c>
      <c r="K47" s="142"/>
      <c r="L47" s="139" t="s">
        <v>710</v>
      </c>
      <c r="M47" s="121"/>
      <c r="N47" s="121"/>
      <c r="O47" s="121"/>
      <c r="P47" s="121"/>
      <c r="Q47" s="121"/>
      <c r="R47" s="121"/>
      <c r="S47" s="121"/>
      <c r="T47" s="121"/>
      <c r="U47" s="121"/>
      <c r="V47" s="121"/>
      <c r="W47" s="121"/>
      <c r="X47" s="121"/>
      <c r="Y47" s="121"/>
      <c r="Z47" s="121"/>
      <c r="AA47" s="121"/>
      <c r="AB47" s="121"/>
      <c r="AC47" s="121"/>
      <c r="AD47" s="121"/>
      <c r="AE47" s="121"/>
      <c r="AF47" s="121"/>
      <c r="AG47" s="121"/>
      <c r="AH47" s="121"/>
      <c r="AI47" s="121"/>
      <c r="AMD47"/>
      <c r="AME47"/>
      <c r="AMF47"/>
      <c r="AMG47"/>
      <c r="AMH47"/>
      <c r="AMI47"/>
      <c r="AMJ47"/>
    </row>
    <row r="48" spans="1:1024" s="122" customFormat="1">
      <c r="A48" s="133" t="s">
        <v>411</v>
      </c>
      <c r="B48" s="134" t="s">
        <v>762</v>
      </c>
      <c r="C48" s="135" t="s">
        <v>715</v>
      </c>
      <c r="D48" s="135"/>
      <c r="E48" s="135" t="s">
        <v>751</v>
      </c>
      <c r="F48" s="140">
        <v>2</v>
      </c>
      <c r="G48" s="128"/>
      <c r="H48" s="133" t="s">
        <v>717</v>
      </c>
      <c r="I48" s="137">
        <f t="shared" si="1"/>
        <v>0.59353090827329402</v>
      </c>
      <c r="J48" s="138">
        <v>9.5</v>
      </c>
      <c r="K48" s="138"/>
      <c r="L48" s="139" t="s">
        <v>710</v>
      </c>
      <c r="M48" s="121"/>
      <c r="N48" s="121"/>
      <c r="O48" s="121"/>
      <c r="P48" s="121"/>
      <c r="Q48" s="121"/>
      <c r="R48" s="121"/>
      <c r="S48" s="121"/>
      <c r="T48" s="121"/>
      <c r="U48" s="121"/>
      <c r="V48" s="121"/>
      <c r="W48" s="121"/>
      <c r="X48" s="121"/>
      <c r="Y48" s="121"/>
      <c r="Z48" s="121"/>
      <c r="AA48" s="121"/>
      <c r="AB48" s="121"/>
      <c r="AC48" s="121"/>
      <c r="AD48" s="121"/>
      <c r="AE48" s="121"/>
      <c r="AF48" s="121"/>
      <c r="AG48" s="121"/>
      <c r="AH48" s="121"/>
      <c r="AI48" s="121"/>
      <c r="AMD48"/>
      <c r="AME48"/>
      <c r="AMF48"/>
      <c r="AMG48"/>
      <c r="AMH48"/>
      <c r="AMI48"/>
      <c r="AMJ48"/>
    </row>
    <row r="49" spans="1:1024" s="122" customFormat="1">
      <c r="A49" s="133" t="s">
        <v>411</v>
      </c>
      <c r="B49" s="134" t="s">
        <v>763</v>
      </c>
      <c r="C49" s="135" t="s">
        <v>715</v>
      </c>
      <c r="D49" s="135"/>
      <c r="E49" s="135" t="s">
        <v>722</v>
      </c>
      <c r="F49" s="140">
        <v>1.5</v>
      </c>
      <c r="G49" s="128"/>
      <c r="H49" s="133" t="s">
        <v>717</v>
      </c>
      <c r="I49" s="137">
        <f t="shared" si="1"/>
        <v>0.44514818120497052</v>
      </c>
      <c r="J49" s="138">
        <v>9.33</v>
      </c>
      <c r="K49" s="138"/>
      <c r="L49" s="139" t="s">
        <v>710</v>
      </c>
      <c r="M49" s="121"/>
      <c r="N49" s="121"/>
      <c r="O49" s="121"/>
      <c r="P49" s="121"/>
      <c r="Q49" s="121"/>
      <c r="R49" s="121"/>
      <c r="S49" s="121"/>
      <c r="T49" s="121"/>
      <c r="U49" s="121"/>
      <c r="V49" s="121"/>
      <c r="W49" s="121"/>
      <c r="X49" s="121"/>
      <c r="Y49" s="121"/>
      <c r="Z49" s="121"/>
      <c r="AA49" s="121"/>
      <c r="AB49" s="121"/>
      <c r="AC49" s="121"/>
      <c r="AD49" s="121"/>
      <c r="AE49" s="121"/>
      <c r="AF49" s="121"/>
      <c r="AG49" s="121"/>
      <c r="AH49" s="121"/>
      <c r="AI49" s="121"/>
      <c r="AMD49"/>
      <c r="AME49"/>
      <c r="AMF49"/>
      <c r="AMG49"/>
      <c r="AMH49"/>
      <c r="AMI49"/>
      <c r="AMJ49"/>
    </row>
    <row r="50" spans="1:1024" s="122" customFormat="1">
      <c r="A50" s="133" t="s">
        <v>411</v>
      </c>
      <c r="B50" s="134" t="s">
        <v>764</v>
      </c>
      <c r="C50" s="135" t="s">
        <v>715</v>
      </c>
      <c r="D50" s="135"/>
      <c r="E50" s="135" t="s">
        <v>751</v>
      </c>
      <c r="F50" s="140">
        <v>1.5</v>
      </c>
      <c r="G50" s="128"/>
      <c r="H50" s="133" t="s">
        <v>717</v>
      </c>
      <c r="I50" s="137">
        <f t="shared" si="1"/>
        <v>0.44514818120497052</v>
      </c>
      <c r="J50" s="138">
        <v>6</v>
      </c>
      <c r="K50" s="138"/>
      <c r="L50" s="139" t="s">
        <v>710</v>
      </c>
      <c r="M50" s="121"/>
      <c r="N50" s="121"/>
      <c r="O50" s="121"/>
      <c r="P50" s="121"/>
      <c r="Q50" s="121"/>
      <c r="R50" s="121"/>
      <c r="S50" s="121"/>
      <c r="T50" s="121"/>
      <c r="U50" s="121"/>
      <c r="V50" s="121"/>
      <c r="W50" s="121"/>
      <c r="X50" s="121"/>
      <c r="Y50" s="121"/>
      <c r="Z50" s="121"/>
      <c r="AA50" s="121"/>
      <c r="AB50" s="121"/>
      <c r="AC50" s="121"/>
      <c r="AD50" s="121"/>
      <c r="AE50" s="121"/>
      <c r="AF50" s="121"/>
      <c r="AG50" s="121"/>
      <c r="AH50" s="121"/>
      <c r="AI50" s="121"/>
      <c r="AMD50"/>
      <c r="AME50"/>
      <c r="AMF50"/>
      <c r="AMG50"/>
      <c r="AMH50"/>
      <c r="AMI50"/>
      <c r="AMJ50"/>
    </row>
    <row r="51" spans="1:1024" s="122" customFormat="1">
      <c r="A51" s="133" t="s">
        <v>411</v>
      </c>
      <c r="B51" s="134" t="s">
        <v>765</v>
      </c>
      <c r="C51" s="135" t="s">
        <v>737</v>
      </c>
      <c r="D51" s="135"/>
      <c r="E51" s="135"/>
      <c r="F51" s="140">
        <v>1346</v>
      </c>
      <c r="G51" s="128"/>
      <c r="H51" s="133" t="s">
        <v>717</v>
      </c>
      <c r="I51" s="137">
        <f t="shared" si="1"/>
        <v>399.44630126792686</v>
      </c>
      <c r="J51" s="141">
        <v>13.986236977487099</v>
      </c>
      <c r="K51" s="142"/>
      <c r="L51" s="139" t="s">
        <v>738</v>
      </c>
      <c r="M51" s="121"/>
      <c r="N51" s="121"/>
      <c r="O51" s="121"/>
      <c r="P51" s="121"/>
      <c r="Q51" s="121"/>
      <c r="R51" s="121"/>
      <c r="S51" s="121"/>
      <c r="T51" s="121"/>
      <c r="U51" s="121"/>
      <c r="V51" s="121"/>
      <c r="W51" s="121"/>
      <c r="X51" s="121"/>
      <c r="Y51" s="121"/>
      <c r="Z51" s="121"/>
      <c r="AA51" s="121"/>
      <c r="AB51" s="121"/>
      <c r="AC51" s="121"/>
      <c r="AD51" s="121"/>
      <c r="AE51" s="121"/>
      <c r="AF51" s="121"/>
      <c r="AG51" s="121"/>
      <c r="AH51" s="121"/>
      <c r="AI51" s="121"/>
      <c r="AMD51"/>
      <c r="AME51"/>
      <c r="AMF51"/>
      <c r="AMG51"/>
      <c r="AMH51"/>
      <c r="AMI51"/>
      <c r="AMJ51"/>
    </row>
    <row r="52" spans="1:1024" s="122" customFormat="1">
      <c r="A52" s="133" t="s">
        <v>411</v>
      </c>
      <c r="B52" s="134" t="s">
        <v>766</v>
      </c>
      <c r="C52" s="135" t="s">
        <v>715</v>
      </c>
      <c r="D52" s="135"/>
      <c r="E52" s="135" t="s">
        <v>751</v>
      </c>
      <c r="F52" s="140">
        <v>816</v>
      </c>
      <c r="G52" s="128"/>
      <c r="H52" s="133" t="s">
        <v>717</v>
      </c>
      <c r="I52" s="137">
        <f t="shared" si="1"/>
        <v>242.16061057550397</v>
      </c>
      <c r="J52" s="138">
        <v>11.9356528263607</v>
      </c>
      <c r="K52" s="138">
        <v>4.86704412710277</v>
      </c>
      <c r="L52" s="139" t="s">
        <v>710</v>
      </c>
      <c r="M52" s="121"/>
      <c r="N52" s="121"/>
      <c r="O52" s="121"/>
      <c r="P52" s="121"/>
      <c r="Q52" s="121"/>
      <c r="R52" s="121"/>
      <c r="S52" s="121"/>
      <c r="T52" s="121"/>
      <c r="U52" s="121"/>
      <c r="V52" s="121"/>
      <c r="W52" s="121"/>
      <c r="X52" s="121"/>
      <c r="Y52" s="121"/>
      <c r="Z52" s="121"/>
      <c r="AA52" s="121"/>
      <c r="AB52" s="121"/>
      <c r="AC52" s="121"/>
      <c r="AD52" s="121"/>
      <c r="AE52" s="121"/>
      <c r="AF52" s="121"/>
      <c r="AG52" s="121"/>
      <c r="AH52" s="121"/>
      <c r="AI52" s="121"/>
      <c r="AMD52"/>
      <c r="AME52"/>
      <c r="AMF52"/>
      <c r="AMG52"/>
      <c r="AMH52"/>
      <c r="AMI52"/>
      <c r="AMJ52"/>
    </row>
    <row r="53" spans="1:1024" s="122" customFormat="1">
      <c r="A53" s="133" t="s">
        <v>411</v>
      </c>
      <c r="B53" s="134" t="s">
        <v>767</v>
      </c>
      <c r="C53" s="135" t="s">
        <v>715</v>
      </c>
      <c r="D53" s="135"/>
      <c r="E53" s="135" t="s">
        <v>722</v>
      </c>
      <c r="F53" s="140">
        <v>567</v>
      </c>
      <c r="G53" s="128"/>
      <c r="H53" s="133" t="s">
        <v>717</v>
      </c>
      <c r="I53" s="137">
        <f t="shared" si="1"/>
        <v>168.26601249547886</v>
      </c>
      <c r="J53" s="138">
        <v>8.3470806441955698</v>
      </c>
      <c r="K53" s="138">
        <v>4.86704412710277</v>
      </c>
      <c r="L53" s="139" t="s">
        <v>710</v>
      </c>
      <c r="M53" s="121"/>
      <c r="N53" s="121"/>
      <c r="O53" s="121"/>
      <c r="P53" s="121"/>
      <c r="Q53" s="121"/>
      <c r="R53" s="121"/>
      <c r="S53" s="121"/>
      <c r="T53" s="121"/>
      <c r="U53" s="121"/>
      <c r="V53" s="121"/>
      <c r="W53" s="121"/>
      <c r="X53" s="121"/>
      <c r="Y53" s="121"/>
      <c r="Z53" s="121"/>
      <c r="AA53" s="121"/>
      <c r="AB53" s="121"/>
      <c r="AC53" s="121"/>
      <c r="AD53" s="121"/>
      <c r="AE53" s="121"/>
      <c r="AF53" s="121"/>
      <c r="AG53" s="121"/>
      <c r="AH53" s="121"/>
      <c r="AI53" s="121"/>
      <c r="AMD53"/>
      <c r="AME53"/>
      <c r="AMF53"/>
      <c r="AMG53"/>
      <c r="AMH53"/>
      <c r="AMI53"/>
      <c r="AMJ53"/>
    </row>
    <row r="54" spans="1:1024" s="122" customFormat="1">
      <c r="A54" s="133" t="s">
        <v>411</v>
      </c>
      <c r="B54" s="134" t="s">
        <v>768</v>
      </c>
      <c r="C54" s="135" t="s">
        <v>715</v>
      </c>
      <c r="D54" s="135"/>
      <c r="E54" s="135" t="s">
        <v>751</v>
      </c>
      <c r="F54" s="140">
        <v>399</v>
      </c>
      <c r="G54" s="128"/>
      <c r="H54" s="133" t="s">
        <v>717</v>
      </c>
      <c r="I54" s="137">
        <f t="shared" si="1"/>
        <v>118.40941620052216</v>
      </c>
      <c r="J54" s="138">
        <v>7.9308502981225102</v>
      </c>
      <c r="K54" s="138">
        <v>4.86704412710277</v>
      </c>
      <c r="L54" s="139" t="s">
        <v>710</v>
      </c>
      <c r="M54" s="121"/>
      <c r="N54" s="121"/>
      <c r="O54" s="121"/>
      <c r="P54" s="121"/>
      <c r="Q54" s="121"/>
      <c r="R54" s="121"/>
      <c r="S54" s="121"/>
      <c r="T54" s="121"/>
      <c r="U54" s="121"/>
      <c r="V54" s="121"/>
      <c r="W54" s="121"/>
      <c r="X54" s="121"/>
      <c r="Y54" s="121"/>
      <c r="Z54" s="121"/>
      <c r="AA54" s="121"/>
      <c r="AB54" s="121"/>
      <c r="AC54" s="121"/>
      <c r="AD54" s="121"/>
      <c r="AE54" s="121"/>
      <c r="AF54" s="121"/>
      <c r="AG54" s="121"/>
      <c r="AH54" s="121"/>
      <c r="AI54" s="121"/>
      <c r="AMD54"/>
      <c r="AME54"/>
      <c r="AMF54"/>
      <c r="AMG54"/>
      <c r="AMH54"/>
      <c r="AMI54"/>
      <c r="AMJ54"/>
    </row>
    <row r="55" spans="1:1024" s="122" customFormat="1">
      <c r="A55" s="133" t="s">
        <v>411</v>
      </c>
      <c r="B55" s="134" t="s">
        <v>769</v>
      </c>
      <c r="C55" s="135" t="s">
        <v>715</v>
      </c>
      <c r="D55" s="135"/>
      <c r="E55" s="135" t="s">
        <v>751</v>
      </c>
      <c r="F55" s="140">
        <v>399</v>
      </c>
      <c r="G55" s="128"/>
      <c r="H55" s="133" t="s">
        <v>717</v>
      </c>
      <c r="I55" s="137">
        <f t="shared" si="1"/>
        <v>118.40941620052216</v>
      </c>
      <c r="J55" s="138">
        <v>6.6215538847117799</v>
      </c>
      <c r="K55" s="138">
        <v>4.86704412710277</v>
      </c>
      <c r="L55" s="139" t="s">
        <v>710</v>
      </c>
      <c r="M55" s="121"/>
      <c r="N55" s="121"/>
      <c r="O55" s="121"/>
      <c r="P55" s="121"/>
      <c r="Q55" s="121"/>
      <c r="R55" s="121"/>
      <c r="S55" s="121"/>
      <c r="T55" s="121"/>
      <c r="U55" s="121"/>
      <c r="V55" s="121"/>
      <c r="W55" s="121"/>
      <c r="X55" s="121"/>
      <c r="Y55" s="121"/>
      <c r="Z55" s="121"/>
      <c r="AA55" s="121"/>
      <c r="AB55" s="121"/>
      <c r="AC55" s="121"/>
      <c r="AD55" s="121"/>
      <c r="AE55" s="121"/>
      <c r="AF55" s="121"/>
      <c r="AG55" s="121"/>
      <c r="AH55" s="121"/>
      <c r="AI55" s="121"/>
      <c r="AMD55"/>
      <c r="AME55"/>
      <c r="AMF55"/>
      <c r="AMG55"/>
      <c r="AMH55"/>
      <c r="AMI55"/>
      <c r="AMJ55"/>
    </row>
    <row r="56" spans="1:1024" s="122" customFormat="1">
      <c r="A56" s="133" t="s">
        <v>411</v>
      </c>
      <c r="B56" s="134" t="s">
        <v>770</v>
      </c>
      <c r="C56" s="135" t="s">
        <v>715</v>
      </c>
      <c r="D56" s="135"/>
      <c r="E56" s="135"/>
      <c r="F56" s="140">
        <v>70</v>
      </c>
      <c r="G56" s="128"/>
      <c r="H56" s="133" t="s">
        <v>717</v>
      </c>
      <c r="I56" s="137">
        <f t="shared" si="1"/>
        <v>20.773581789565291</v>
      </c>
      <c r="J56" s="138">
        <v>112.93</v>
      </c>
      <c r="K56" s="138">
        <v>57.29</v>
      </c>
      <c r="L56" s="139" t="s">
        <v>710</v>
      </c>
      <c r="M56" s="121"/>
      <c r="N56" s="121"/>
      <c r="O56" s="121"/>
      <c r="P56" s="121"/>
      <c r="Q56" s="121"/>
      <c r="R56" s="121"/>
      <c r="S56" s="121"/>
      <c r="T56" s="121"/>
      <c r="U56" s="121"/>
      <c r="V56" s="121"/>
      <c r="W56" s="121"/>
      <c r="X56" s="121"/>
      <c r="Y56" s="121"/>
      <c r="Z56" s="121"/>
      <c r="AA56" s="121"/>
      <c r="AB56" s="121"/>
      <c r="AC56" s="121"/>
      <c r="AD56" s="121"/>
      <c r="AE56" s="121"/>
      <c r="AF56" s="121"/>
      <c r="AG56" s="121"/>
      <c r="AH56" s="121"/>
      <c r="AI56" s="121"/>
      <c r="AMD56"/>
      <c r="AME56"/>
      <c r="AMF56"/>
      <c r="AMG56"/>
      <c r="AMH56"/>
      <c r="AMI56"/>
      <c r="AMJ56"/>
    </row>
    <row r="57" spans="1:1024" s="122" customFormat="1">
      <c r="A57" s="133" t="s">
        <v>411</v>
      </c>
      <c r="B57" s="134" t="s">
        <v>771</v>
      </c>
      <c r="C57" s="135" t="s">
        <v>715</v>
      </c>
      <c r="D57" s="135" t="s">
        <v>716</v>
      </c>
      <c r="E57" s="135"/>
      <c r="F57" s="140">
        <v>23.586803239999998</v>
      </c>
      <c r="G57" s="128"/>
      <c r="H57" s="145" t="s">
        <v>717</v>
      </c>
      <c r="I57" s="137">
        <f t="shared" si="1"/>
        <v>6.9997483751503369</v>
      </c>
      <c r="J57" s="138">
        <v>65.078763933420603</v>
      </c>
      <c r="K57" s="138">
        <v>23.7531329580052</v>
      </c>
      <c r="L57" s="139" t="s">
        <v>710</v>
      </c>
      <c r="M57" s="121"/>
      <c r="N57" s="121"/>
      <c r="O57" s="121"/>
      <c r="P57" s="121"/>
      <c r="Q57" s="121"/>
      <c r="R57" s="121"/>
      <c r="S57" s="121"/>
      <c r="T57" s="121"/>
      <c r="U57" s="121"/>
      <c r="V57" s="121"/>
      <c r="W57" s="121"/>
      <c r="X57" s="121"/>
      <c r="Y57" s="121"/>
      <c r="Z57" s="121"/>
      <c r="AA57" s="121"/>
      <c r="AB57" s="121"/>
      <c r="AC57" s="121"/>
      <c r="AD57" s="121"/>
      <c r="AE57" s="121"/>
      <c r="AF57" s="121"/>
      <c r="AG57" s="121"/>
      <c r="AH57" s="121"/>
      <c r="AI57" s="121"/>
      <c r="AMD57"/>
      <c r="AME57"/>
      <c r="AMF57"/>
      <c r="AMG57"/>
      <c r="AMH57"/>
      <c r="AMI57"/>
      <c r="AMJ57"/>
    </row>
    <row r="58" spans="1:1024" s="122" customFormat="1">
      <c r="A58" s="133" t="s">
        <v>411</v>
      </c>
      <c r="B58" s="134" t="s">
        <v>772</v>
      </c>
      <c r="C58" s="135" t="s">
        <v>715</v>
      </c>
      <c r="D58" s="135"/>
      <c r="E58" s="135" t="s">
        <v>751</v>
      </c>
      <c r="F58" s="140">
        <v>42.637682779999999</v>
      </c>
      <c r="G58" s="128"/>
      <c r="H58" s="145" t="s">
        <v>717</v>
      </c>
      <c r="I58" s="137">
        <f t="shared" si="1"/>
        <v>12.653391293540993</v>
      </c>
      <c r="J58" s="138">
        <v>22.726375750760301</v>
      </c>
      <c r="K58" s="138">
        <v>7.0964633181910104</v>
      </c>
      <c r="L58" s="139" t="s">
        <v>710</v>
      </c>
      <c r="M58" s="121"/>
      <c r="N58" s="121"/>
      <c r="O58" s="121"/>
      <c r="P58" s="121"/>
      <c r="Q58" s="121"/>
      <c r="R58" s="121"/>
      <c r="S58" s="121"/>
      <c r="T58" s="121"/>
      <c r="U58" s="121"/>
      <c r="V58" s="121"/>
      <c r="W58" s="121"/>
      <c r="X58" s="121"/>
      <c r="Y58" s="121"/>
      <c r="Z58" s="121"/>
      <c r="AA58" s="121"/>
      <c r="AB58" s="121"/>
      <c r="AC58" s="121"/>
      <c r="AD58" s="121"/>
      <c r="AE58" s="121"/>
      <c r="AF58" s="121"/>
      <c r="AG58" s="121"/>
      <c r="AH58" s="121"/>
      <c r="AI58" s="121"/>
      <c r="AMD58"/>
      <c r="AME58"/>
      <c r="AMF58"/>
      <c r="AMG58"/>
      <c r="AMH58"/>
      <c r="AMI58"/>
      <c r="AMJ58"/>
    </row>
    <row r="59" spans="1:1024" s="122" customFormat="1">
      <c r="A59" s="133" t="s">
        <v>411</v>
      </c>
      <c r="B59" s="134" t="s">
        <v>773</v>
      </c>
      <c r="C59" s="135" t="s">
        <v>715</v>
      </c>
      <c r="D59" s="135"/>
      <c r="E59" s="135" t="s">
        <v>751</v>
      </c>
      <c r="F59" s="140">
        <v>18.597287170000001</v>
      </c>
      <c r="G59" s="128"/>
      <c r="H59" s="145" t="s">
        <v>717</v>
      </c>
      <c r="I59" s="137">
        <f t="shared" si="1"/>
        <v>5.5190323727146895</v>
      </c>
      <c r="J59" s="138">
        <v>26.670556596024198</v>
      </c>
      <c r="K59" s="138">
        <v>7.2342628037550201</v>
      </c>
      <c r="L59" s="139" t="s">
        <v>710</v>
      </c>
      <c r="M59" s="121"/>
      <c r="N59" s="121"/>
      <c r="O59" s="121"/>
      <c r="P59" s="121"/>
      <c r="Q59" s="121"/>
      <c r="R59" s="121"/>
      <c r="S59" s="121"/>
      <c r="T59" s="121"/>
      <c r="U59" s="121"/>
      <c r="V59" s="121"/>
      <c r="W59" s="121"/>
      <c r="X59" s="121"/>
      <c r="Y59" s="121"/>
      <c r="Z59" s="121"/>
      <c r="AA59" s="121"/>
      <c r="AB59" s="121"/>
      <c r="AC59" s="121"/>
      <c r="AD59" s="121"/>
      <c r="AE59" s="121"/>
      <c r="AF59" s="121"/>
      <c r="AG59" s="121"/>
      <c r="AH59" s="121"/>
      <c r="AI59" s="121"/>
      <c r="AMD59"/>
      <c r="AME59"/>
      <c r="AMF59"/>
      <c r="AMG59"/>
      <c r="AMH59"/>
      <c r="AMI59"/>
      <c r="AMJ59"/>
    </row>
    <row r="60" spans="1:1024" s="122" customFormat="1">
      <c r="A60" s="133" t="s">
        <v>411</v>
      </c>
      <c r="B60" s="134" t="s">
        <v>774</v>
      </c>
      <c r="C60" s="135" t="s">
        <v>715</v>
      </c>
      <c r="D60" s="135"/>
      <c r="E60" s="135" t="s">
        <v>751</v>
      </c>
      <c r="F60" s="140">
        <v>9.5254397700000002</v>
      </c>
      <c r="G60" s="128"/>
      <c r="H60" s="145" t="s">
        <v>717</v>
      </c>
      <c r="I60" s="137">
        <f t="shared" si="1"/>
        <v>2.8268214591953287</v>
      </c>
      <c r="J60" s="146">
        <v>27.0853636398564</v>
      </c>
      <c r="K60" s="146">
        <v>8.3928106149322996</v>
      </c>
      <c r="L60" s="139" t="s">
        <v>710</v>
      </c>
      <c r="M60" s="121"/>
      <c r="N60" s="121"/>
      <c r="O60" s="121"/>
      <c r="P60" s="121"/>
      <c r="Q60" s="121"/>
      <c r="R60" s="121"/>
      <c r="S60" s="121"/>
      <c r="T60" s="121"/>
      <c r="U60" s="121"/>
      <c r="V60" s="121"/>
      <c r="W60" s="121"/>
      <c r="X60" s="121"/>
      <c r="Y60" s="121"/>
      <c r="Z60" s="121"/>
      <c r="AA60" s="121"/>
      <c r="AB60" s="121"/>
      <c r="AC60" s="121"/>
      <c r="AD60" s="121"/>
      <c r="AE60" s="121"/>
      <c r="AF60" s="121"/>
      <c r="AG60" s="121"/>
      <c r="AH60" s="121"/>
      <c r="AI60" s="121"/>
      <c r="AMD60"/>
      <c r="AME60"/>
      <c r="AMF60"/>
      <c r="AMG60"/>
      <c r="AMH60"/>
      <c r="AMI60"/>
      <c r="AMJ60"/>
    </row>
    <row r="61" spans="1:1024" s="122" customFormat="1">
      <c r="A61" s="133" t="s">
        <v>411</v>
      </c>
      <c r="B61" s="134" t="s">
        <v>775</v>
      </c>
      <c r="C61" s="135" t="s">
        <v>715</v>
      </c>
      <c r="D61" s="135"/>
      <c r="E61" s="135" t="s">
        <v>751</v>
      </c>
      <c r="F61" s="140">
        <v>3.8555351450000002</v>
      </c>
      <c r="G61" s="128"/>
      <c r="H61" s="145" t="s">
        <v>717</v>
      </c>
      <c r="I61" s="137">
        <f t="shared" si="1"/>
        <v>1.1441896382457282</v>
      </c>
      <c r="J61" s="138">
        <v>31.124084073159199</v>
      </c>
      <c r="K61" s="138">
        <v>9.96763624803277</v>
      </c>
      <c r="L61" s="139" t="s">
        <v>710</v>
      </c>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MD61"/>
      <c r="AME61"/>
      <c r="AMF61"/>
      <c r="AMG61"/>
      <c r="AMH61"/>
      <c r="AMI61"/>
      <c r="AMJ61"/>
    </row>
    <row r="62" spans="1:1024" s="122" customFormat="1">
      <c r="A62" s="133" t="s">
        <v>411</v>
      </c>
      <c r="B62" s="134" t="s">
        <v>776</v>
      </c>
      <c r="C62" s="135" t="s">
        <v>715</v>
      </c>
      <c r="D62" s="135" t="s">
        <v>716</v>
      </c>
      <c r="E62" s="135"/>
      <c r="F62" s="140">
        <v>39.916128559999997</v>
      </c>
      <c r="G62" s="128"/>
      <c r="H62" s="145" t="s">
        <v>717</v>
      </c>
      <c r="I62" s="137">
        <f t="shared" si="1"/>
        <v>11.845728019485184</v>
      </c>
      <c r="J62" s="138">
        <v>40.334572967915101</v>
      </c>
      <c r="K62" s="138">
        <v>10.9455292843574</v>
      </c>
      <c r="L62" s="139" t="s">
        <v>710</v>
      </c>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MD62"/>
      <c r="AME62"/>
      <c r="AMF62"/>
      <c r="AMG62"/>
      <c r="AMH62"/>
      <c r="AMI62"/>
      <c r="AMJ62"/>
    </row>
    <row r="63" spans="1:1024" s="122" customFormat="1">
      <c r="A63" s="133" t="s">
        <v>411</v>
      </c>
      <c r="B63" s="134" t="s">
        <v>777</v>
      </c>
      <c r="C63" s="135" t="s">
        <v>715</v>
      </c>
      <c r="D63" s="135" t="s">
        <v>716</v>
      </c>
      <c r="E63" s="135"/>
      <c r="F63" s="140">
        <v>39.008943819999999</v>
      </c>
      <c r="G63" s="128"/>
      <c r="H63" s="145" t="s">
        <v>717</v>
      </c>
      <c r="I63" s="137">
        <f t="shared" si="1"/>
        <v>11.576506928133249</v>
      </c>
      <c r="J63" s="138">
        <v>26.814363516904901</v>
      </c>
      <c r="K63" s="138">
        <v>10.9455292843574</v>
      </c>
      <c r="L63" s="139" t="s">
        <v>710</v>
      </c>
      <c r="M63" s="121"/>
      <c r="N63" s="121"/>
      <c r="O63" s="121"/>
      <c r="P63" s="121"/>
      <c r="Q63" s="121"/>
      <c r="R63" s="121"/>
      <c r="S63" s="121"/>
      <c r="T63" s="121"/>
      <c r="U63" s="121"/>
      <c r="V63" s="121"/>
      <c r="W63" s="121"/>
      <c r="X63" s="121"/>
      <c r="Y63" s="121"/>
      <c r="Z63" s="121"/>
      <c r="AA63" s="121"/>
      <c r="AB63" s="121"/>
      <c r="AC63" s="121"/>
      <c r="AD63" s="121"/>
      <c r="AE63" s="121"/>
      <c r="AF63" s="121"/>
      <c r="AG63" s="121"/>
      <c r="AH63" s="121"/>
      <c r="AI63" s="121"/>
      <c r="AMD63"/>
      <c r="AME63"/>
      <c r="AMF63"/>
      <c r="AMG63"/>
      <c r="AMH63"/>
      <c r="AMI63"/>
      <c r="AMJ63"/>
    </row>
    <row r="64" spans="1:1024" s="122" customFormat="1">
      <c r="A64" s="133" t="s">
        <v>411</v>
      </c>
      <c r="B64" s="134" t="s">
        <v>778</v>
      </c>
      <c r="C64" s="135" t="s">
        <v>715</v>
      </c>
      <c r="D64" s="135" t="s">
        <v>716</v>
      </c>
      <c r="E64" s="135"/>
      <c r="F64" s="140">
        <v>15.422140580000001</v>
      </c>
      <c r="G64" s="128"/>
      <c r="H64" s="145" t="s">
        <v>717</v>
      </c>
      <c r="I64" s="137">
        <f t="shared" si="1"/>
        <v>4.5767585529829127</v>
      </c>
      <c r="J64" s="138">
        <v>72.6228628373714</v>
      </c>
      <c r="K64" s="138">
        <v>14.6546473958976</v>
      </c>
      <c r="L64" s="139" t="s">
        <v>710</v>
      </c>
      <c r="M64" s="121"/>
      <c r="N64" s="121"/>
      <c r="O64" s="121"/>
      <c r="P64" s="121"/>
      <c r="Q64" s="121"/>
      <c r="R64" s="121"/>
      <c r="S64" s="121"/>
      <c r="T64" s="121"/>
      <c r="U64" s="121"/>
      <c r="V64" s="121"/>
      <c r="W64" s="121"/>
      <c r="X64" s="121"/>
      <c r="Y64" s="121"/>
      <c r="Z64" s="121"/>
      <c r="AA64" s="121"/>
      <c r="AB64" s="121"/>
      <c r="AC64" s="121"/>
      <c r="AD64" s="121"/>
      <c r="AE64" s="121"/>
      <c r="AF64" s="121"/>
      <c r="AG64" s="121"/>
      <c r="AH64" s="121"/>
      <c r="AI64" s="121"/>
      <c r="AMD64"/>
      <c r="AME64"/>
      <c r="AMF64"/>
      <c r="AMG64"/>
      <c r="AMH64"/>
      <c r="AMI64"/>
      <c r="AMJ64"/>
    </row>
    <row r="65" spans="1:1024" s="122" customFormat="1">
      <c r="A65" s="133" t="s">
        <v>411</v>
      </c>
      <c r="B65" s="134" t="s">
        <v>779</v>
      </c>
      <c r="C65" s="135" t="s">
        <v>732</v>
      </c>
      <c r="D65" s="135"/>
      <c r="E65" s="135"/>
      <c r="F65" s="140">
        <v>17.236510060000001</v>
      </c>
      <c r="G65" s="128"/>
      <c r="H65" s="145" t="s">
        <v>717</v>
      </c>
      <c r="I65" s="137">
        <f t="shared" si="1"/>
        <v>5.115200735686785</v>
      </c>
      <c r="J65" s="144">
        <v>0.2</v>
      </c>
      <c r="K65" s="142"/>
      <c r="L65" s="139" t="s">
        <v>710</v>
      </c>
      <c r="M65" s="121"/>
      <c r="N65" s="121"/>
      <c r="O65" s="121"/>
      <c r="P65" s="121"/>
      <c r="Q65" s="121"/>
      <c r="R65" s="121"/>
      <c r="S65" s="121"/>
      <c r="T65" s="121"/>
      <c r="U65" s="121"/>
      <c r="V65" s="121"/>
      <c r="W65" s="121"/>
      <c r="X65" s="121"/>
      <c r="Y65" s="121"/>
      <c r="Z65" s="121"/>
      <c r="AA65" s="121"/>
      <c r="AB65" s="121"/>
      <c r="AC65" s="121"/>
      <c r="AD65" s="121"/>
      <c r="AE65" s="121"/>
      <c r="AF65" s="121"/>
      <c r="AG65" s="121"/>
      <c r="AH65" s="121"/>
      <c r="AI65" s="121"/>
      <c r="AMD65"/>
      <c r="AME65"/>
      <c r="AMF65"/>
      <c r="AMG65"/>
      <c r="AMH65"/>
      <c r="AMI65"/>
      <c r="AMJ65"/>
    </row>
    <row r="66" spans="1:1024" s="122" customFormat="1">
      <c r="A66" s="133" t="s">
        <v>411</v>
      </c>
      <c r="B66" s="134" t="s">
        <v>780</v>
      </c>
      <c r="C66" s="135" t="s">
        <v>732</v>
      </c>
      <c r="D66" s="135"/>
      <c r="E66" s="135"/>
      <c r="F66" s="140">
        <v>5.2163122550000001</v>
      </c>
      <c r="G66" s="128"/>
      <c r="H66" s="145" t="s">
        <v>717</v>
      </c>
      <c r="I66" s="137">
        <f t="shared" si="1"/>
        <v>1.5480212752736322</v>
      </c>
      <c r="J66" s="146">
        <v>0.67745018824688497</v>
      </c>
      <c r="K66" s="142"/>
      <c r="L66" s="139" t="s">
        <v>710</v>
      </c>
      <c r="M66" s="121"/>
      <c r="N66" s="121"/>
      <c r="O66" s="121"/>
      <c r="P66" s="121"/>
      <c r="Q66" s="121"/>
      <c r="R66" s="121"/>
      <c r="S66" s="121"/>
      <c r="T66" s="121"/>
      <c r="U66" s="121"/>
      <c r="V66" s="121"/>
      <c r="W66" s="121"/>
      <c r="X66" s="121"/>
      <c r="Y66" s="121"/>
      <c r="Z66" s="121"/>
      <c r="AA66" s="121"/>
      <c r="AB66" s="121"/>
      <c r="AC66" s="121"/>
      <c r="AD66" s="121"/>
      <c r="AE66" s="121"/>
      <c r="AF66" s="121"/>
      <c r="AG66" s="121"/>
      <c r="AH66" s="121"/>
      <c r="AI66" s="121"/>
      <c r="AMD66"/>
      <c r="AME66"/>
      <c r="AMF66"/>
      <c r="AMG66"/>
      <c r="AMH66"/>
      <c r="AMI66"/>
      <c r="AMJ66"/>
    </row>
    <row r="67" spans="1:1024" s="122" customFormat="1">
      <c r="A67" s="133" t="s">
        <v>411</v>
      </c>
      <c r="B67" s="134" t="s">
        <v>781</v>
      </c>
      <c r="C67" s="135" t="s">
        <v>715</v>
      </c>
      <c r="D67" s="135"/>
      <c r="E67" s="135" t="s">
        <v>751</v>
      </c>
      <c r="F67" s="140">
        <v>1</v>
      </c>
      <c r="G67" s="128"/>
      <c r="H67" s="145" t="s">
        <v>717</v>
      </c>
      <c r="I67" s="137">
        <f t="shared" ref="I67:I82" si="2">IF(A67="Equipos Rotativos",F67,F67*fac_piping)</f>
        <v>0.29676545413664701</v>
      </c>
      <c r="J67" s="138">
        <v>6</v>
      </c>
      <c r="K67" s="138"/>
      <c r="L67" s="139" t="s">
        <v>710</v>
      </c>
      <c r="M67" s="121"/>
      <c r="N67" s="121"/>
      <c r="O67" s="121"/>
      <c r="P67" s="121"/>
      <c r="Q67" s="121"/>
      <c r="R67" s="121"/>
      <c r="S67" s="121"/>
      <c r="T67" s="121"/>
      <c r="U67" s="121"/>
      <c r="V67" s="121"/>
      <c r="W67" s="121"/>
      <c r="X67" s="121"/>
      <c r="Y67" s="121"/>
      <c r="Z67" s="121"/>
      <c r="AA67" s="121"/>
      <c r="AB67" s="121"/>
      <c r="AC67" s="121"/>
      <c r="AD67" s="121"/>
      <c r="AE67" s="121"/>
      <c r="AF67" s="121"/>
      <c r="AG67" s="121"/>
      <c r="AH67" s="121"/>
      <c r="AI67" s="121"/>
      <c r="AMD67"/>
      <c r="AME67"/>
      <c r="AMF67"/>
      <c r="AMG67"/>
      <c r="AMH67"/>
      <c r="AMI67"/>
      <c r="AMJ67"/>
    </row>
    <row r="68" spans="1:1024" s="122" customFormat="1">
      <c r="A68" s="133" t="s">
        <v>411</v>
      </c>
      <c r="B68" s="134" t="s">
        <v>782</v>
      </c>
      <c r="C68" s="135" t="s">
        <v>737</v>
      </c>
      <c r="D68" s="135"/>
      <c r="E68" s="135"/>
      <c r="F68" s="140">
        <v>310</v>
      </c>
      <c r="G68" s="128"/>
      <c r="H68" s="145" t="s">
        <v>717</v>
      </c>
      <c r="I68" s="137">
        <f t="shared" si="2"/>
        <v>91.997290782360579</v>
      </c>
      <c r="J68" s="141">
        <v>13.986236977487099</v>
      </c>
      <c r="K68" s="142"/>
      <c r="L68" s="139" t="s">
        <v>738</v>
      </c>
      <c r="M68" s="121"/>
      <c r="N68" s="121"/>
      <c r="O68" s="121"/>
      <c r="P68" s="121"/>
      <c r="Q68" s="121"/>
      <c r="R68" s="121"/>
      <c r="S68" s="121"/>
      <c r="T68" s="121"/>
      <c r="U68" s="121"/>
      <c r="V68" s="121"/>
      <c r="W68" s="121"/>
      <c r="X68" s="121"/>
      <c r="Y68" s="121"/>
      <c r="Z68" s="121"/>
      <c r="AA68" s="121"/>
      <c r="AB68" s="121"/>
      <c r="AC68" s="121"/>
      <c r="AD68" s="121"/>
      <c r="AE68" s="121"/>
      <c r="AF68" s="121"/>
      <c r="AG68" s="121"/>
      <c r="AH68" s="121"/>
      <c r="AI68" s="121"/>
      <c r="AMD68"/>
      <c r="AME68"/>
      <c r="AMF68"/>
      <c r="AMG68"/>
      <c r="AMH68"/>
      <c r="AMI68"/>
      <c r="AMJ68"/>
    </row>
    <row r="69" spans="1:1024" s="122" customFormat="1">
      <c r="A69" s="133" t="s">
        <v>411</v>
      </c>
      <c r="B69" s="134" t="s">
        <v>783</v>
      </c>
      <c r="C69" s="135" t="s">
        <v>715</v>
      </c>
      <c r="D69" s="135"/>
      <c r="E69" s="135" t="s">
        <v>751</v>
      </c>
      <c r="F69" s="140">
        <v>249</v>
      </c>
      <c r="G69" s="128"/>
      <c r="H69" s="133" t="s">
        <v>717</v>
      </c>
      <c r="I69" s="137">
        <f t="shared" si="2"/>
        <v>73.894598080025105</v>
      </c>
      <c r="J69" s="138">
        <v>10.069745943868799</v>
      </c>
      <c r="K69" s="138">
        <v>6.4825766990444196</v>
      </c>
      <c r="L69" s="139" t="s">
        <v>710</v>
      </c>
      <c r="M69" s="121"/>
      <c r="N69" s="121"/>
      <c r="O69" s="121"/>
      <c r="P69" s="121"/>
      <c r="Q69" s="121"/>
      <c r="R69" s="121"/>
      <c r="S69" s="121"/>
      <c r="T69" s="121"/>
      <c r="U69" s="121"/>
      <c r="V69" s="121"/>
      <c r="W69" s="121"/>
      <c r="X69" s="121"/>
      <c r="Y69" s="121"/>
      <c r="Z69" s="121"/>
      <c r="AA69" s="121"/>
      <c r="AB69" s="121"/>
      <c r="AC69" s="121"/>
      <c r="AD69" s="121"/>
      <c r="AE69" s="121"/>
      <c r="AF69" s="121"/>
      <c r="AG69" s="121"/>
      <c r="AH69" s="121"/>
      <c r="AI69" s="121"/>
      <c r="AMD69"/>
      <c r="AME69"/>
      <c r="AMF69"/>
      <c r="AMG69"/>
      <c r="AMH69"/>
      <c r="AMI69"/>
      <c r="AMJ69"/>
    </row>
    <row r="70" spans="1:1024" s="122" customFormat="1">
      <c r="A70" s="133" t="s">
        <v>411</v>
      </c>
      <c r="B70" s="147" t="s">
        <v>784</v>
      </c>
      <c r="C70" s="135" t="s">
        <v>715</v>
      </c>
      <c r="D70" s="135"/>
      <c r="E70" s="135"/>
      <c r="F70" s="140">
        <v>70</v>
      </c>
      <c r="G70" s="128"/>
      <c r="H70" s="145" t="s">
        <v>717</v>
      </c>
      <c r="I70" s="137">
        <f t="shared" si="2"/>
        <v>20.773581789565291</v>
      </c>
      <c r="J70" s="138">
        <v>112.93</v>
      </c>
      <c r="K70" s="138">
        <v>57.29</v>
      </c>
      <c r="L70" s="139" t="s">
        <v>710</v>
      </c>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MD70"/>
      <c r="AME70"/>
      <c r="AMF70"/>
      <c r="AMG70"/>
      <c r="AMH70"/>
      <c r="AMI70"/>
      <c r="AMJ70"/>
    </row>
    <row r="71" spans="1:1024" s="122" customFormat="1" ht="25.5">
      <c r="A71" s="133" t="s">
        <v>412</v>
      </c>
      <c r="B71" s="148" t="s">
        <v>785</v>
      </c>
      <c r="C71" s="133" t="s">
        <v>715</v>
      </c>
      <c r="D71" s="149"/>
      <c r="E71" s="133" t="s">
        <v>751</v>
      </c>
      <c r="F71" s="145">
        <v>1200</v>
      </c>
      <c r="G71" s="128"/>
      <c r="H71" s="133" t="s">
        <v>717</v>
      </c>
      <c r="I71" s="137">
        <f t="shared" si="2"/>
        <v>356.11854496397643</v>
      </c>
      <c r="J71" s="150">
        <f>29.6589282697426*(ppi_usa_filt/ppi_usa_filt_base)</f>
        <v>29.658928269742599</v>
      </c>
      <c r="K71" s="150">
        <f>4.86704412710277*(ppi_usa_filt/ppi_usa_filt_base)</f>
        <v>4.86704412710277</v>
      </c>
      <c r="L71" s="139" t="s">
        <v>738</v>
      </c>
      <c r="M71" s="121"/>
      <c r="N71" s="121"/>
      <c r="O71" s="121"/>
      <c r="P71" s="121"/>
      <c r="Q71" s="121"/>
      <c r="R71" s="121"/>
      <c r="S71" s="121"/>
      <c r="T71" s="121"/>
      <c r="U71" s="121"/>
      <c r="V71" s="121"/>
      <c r="W71" s="121"/>
      <c r="X71" s="121"/>
      <c r="Y71" s="121"/>
      <c r="Z71" s="121"/>
      <c r="AA71" s="121"/>
      <c r="AB71" s="121"/>
      <c r="AC71" s="121"/>
      <c r="AD71" s="121"/>
      <c r="AE71" s="121"/>
      <c r="AF71" s="121"/>
      <c r="AG71" s="121"/>
      <c r="AH71" s="121"/>
      <c r="AI71" s="121"/>
      <c r="AMD71"/>
      <c r="AME71"/>
      <c r="AMF71"/>
      <c r="AMG71"/>
      <c r="AMH71"/>
      <c r="AMI71"/>
      <c r="AMJ71"/>
    </row>
    <row r="72" spans="1:1024" s="122" customFormat="1">
      <c r="A72" s="133" t="s">
        <v>411</v>
      </c>
      <c r="B72" s="134" t="s">
        <v>786</v>
      </c>
      <c r="C72" s="133" t="s">
        <v>715</v>
      </c>
      <c r="D72" s="133" t="s">
        <v>716</v>
      </c>
      <c r="E72" s="133"/>
      <c r="F72" s="145">
        <v>14.514955840000001</v>
      </c>
      <c r="G72" s="128"/>
      <c r="H72" s="145" t="s">
        <v>717</v>
      </c>
      <c r="I72" s="137">
        <f t="shared" si="2"/>
        <v>4.3075374616309769</v>
      </c>
      <c r="J72" s="150">
        <v>74.612696858194496</v>
      </c>
      <c r="K72" s="143">
        <v>25.028892803748899</v>
      </c>
      <c r="L72" s="139" t="s">
        <v>710</v>
      </c>
      <c r="M72" s="121"/>
      <c r="N72" s="121"/>
      <c r="O72" s="121"/>
      <c r="P72" s="121"/>
      <c r="Q72" s="121"/>
      <c r="R72" s="121"/>
      <c r="S72" s="121"/>
      <c r="T72" s="121"/>
      <c r="U72" s="121"/>
      <c r="V72" s="121"/>
      <c r="W72" s="121"/>
      <c r="X72" s="121"/>
      <c r="Y72" s="121"/>
      <c r="Z72" s="121"/>
      <c r="AA72" s="121"/>
      <c r="AB72" s="121"/>
      <c r="AC72" s="121"/>
      <c r="AD72" s="121"/>
      <c r="AE72" s="121"/>
      <c r="AF72" s="121"/>
      <c r="AG72" s="121"/>
      <c r="AH72" s="121"/>
      <c r="AI72" s="121"/>
      <c r="AMD72"/>
      <c r="AME72"/>
      <c r="AMF72"/>
      <c r="AMG72"/>
      <c r="AMH72"/>
      <c r="AMI72"/>
      <c r="AMJ72"/>
    </row>
    <row r="73" spans="1:1024" s="122" customFormat="1">
      <c r="A73" s="133" t="s">
        <v>411</v>
      </c>
      <c r="B73" s="134" t="s">
        <v>787</v>
      </c>
      <c r="C73" s="133" t="s">
        <v>715</v>
      </c>
      <c r="D73" s="133" t="s">
        <v>716</v>
      </c>
      <c r="E73" s="133">
        <v>0</v>
      </c>
      <c r="F73" s="145">
        <v>24.49398798</v>
      </c>
      <c r="G73" s="128"/>
      <c r="H73" s="145" t="s">
        <v>717</v>
      </c>
      <c r="I73" s="137">
        <f t="shared" si="2"/>
        <v>7.2689694665022735</v>
      </c>
      <c r="J73" s="138">
        <v>46.378727748522401</v>
      </c>
      <c r="K73" s="138">
        <v>10.9455292843574</v>
      </c>
      <c r="L73" s="139" t="s">
        <v>710</v>
      </c>
      <c r="M73" s="121"/>
      <c r="N73" s="121"/>
      <c r="O73" s="121"/>
      <c r="P73" s="121"/>
      <c r="Q73" s="121"/>
      <c r="R73" s="121"/>
      <c r="S73" s="121"/>
      <c r="T73" s="121"/>
      <c r="U73" s="121"/>
      <c r="V73" s="121"/>
      <c r="W73" s="121"/>
      <c r="X73" s="121"/>
      <c r="Y73" s="121"/>
      <c r="Z73" s="121"/>
      <c r="AA73" s="121"/>
      <c r="AB73" s="121"/>
      <c r="AC73" s="121"/>
      <c r="AD73" s="121"/>
      <c r="AE73" s="121"/>
      <c r="AF73" s="121"/>
      <c r="AG73" s="121"/>
      <c r="AH73" s="121"/>
      <c r="AI73" s="121"/>
      <c r="AMD73"/>
      <c r="AME73"/>
      <c r="AMF73"/>
      <c r="AMG73"/>
      <c r="AMH73"/>
      <c r="AMI73"/>
      <c r="AMJ73"/>
    </row>
    <row r="74" spans="1:1024" s="122" customFormat="1">
      <c r="A74" s="133" t="s">
        <v>411</v>
      </c>
      <c r="B74" s="134" t="s">
        <v>788</v>
      </c>
      <c r="C74" s="133" t="s">
        <v>715</v>
      </c>
      <c r="D74" s="133" t="s">
        <v>716</v>
      </c>
      <c r="E74" s="139"/>
      <c r="F74" s="145">
        <v>15.422140580000001</v>
      </c>
      <c r="G74" s="128"/>
      <c r="H74" s="145" t="s">
        <v>717</v>
      </c>
      <c r="I74" s="137">
        <f t="shared" si="2"/>
        <v>4.5767585529829127</v>
      </c>
      <c r="J74" s="138">
        <v>64.647316293624399</v>
      </c>
      <c r="K74" s="138">
        <v>10.134749337368</v>
      </c>
      <c r="L74" s="139" t="s">
        <v>710</v>
      </c>
      <c r="M74" s="121"/>
      <c r="N74" s="121"/>
      <c r="O74" s="121"/>
      <c r="P74" s="121"/>
      <c r="Q74" s="121"/>
      <c r="R74" s="121"/>
      <c r="S74" s="121"/>
      <c r="T74" s="121"/>
      <c r="U74" s="121"/>
      <c r="V74" s="121"/>
      <c r="W74" s="121"/>
      <c r="X74" s="121"/>
      <c r="Y74" s="121"/>
      <c r="Z74" s="121"/>
      <c r="AA74" s="121"/>
      <c r="AB74" s="121"/>
      <c r="AC74" s="121"/>
      <c r="AD74" s="121"/>
      <c r="AE74" s="121"/>
      <c r="AF74" s="121"/>
      <c r="AG74" s="121"/>
      <c r="AH74" s="121"/>
      <c r="AI74" s="121"/>
      <c r="AMD74"/>
      <c r="AME74"/>
      <c r="AMF74"/>
      <c r="AMG74"/>
      <c r="AMH74"/>
      <c r="AMI74"/>
      <c r="AMJ74"/>
    </row>
    <row r="75" spans="1:1024" s="122" customFormat="1">
      <c r="A75" s="133" t="s">
        <v>411</v>
      </c>
      <c r="B75" s="134" t="s">
        <v>789</v>
      </c>
      <c r="C75" s="133" t="s">
        <v>732</v>
      </c>
      <c r="D75" s="133"/>
      <c r="E75" s="133" t="s">
        <v>751</v>
      </c>
      <c r="F75" s="145">
        <v>8.1646626599999994</v>
      </c>
      <c r="G75" s="128"/>
      <c r="H75" s="133" t="s">
        <v>717</v>
      </c>
      <c r="I75" s="137">
        <f t="shared" si="2"/>
        <v>2.4229898221674242</v>
      </c>
      <c r="J75" s="138">
        <v>0.64526500829969102</v>
      </c>
      <c r="K75" s="138"/>
      <c r="L75" s="139" t="s">
        <v>710</v>
      </c>
      <c r="M75" s="121"/>
      <c r="N75" s="121"/>
      <c r="O75" s="121"/>
      <c r="P75" s="121"/>
      <c r="Q75" s="121"/>
      <c r="R75" s="121"/>
      <c r="S75" s="121"/>
      <c r="T75" s="121"/>
      <c r="U75" s="121"/>
      <c r="V75" s="121"/>
      <c r="W75" s="121"/>
      <c r="X75" s="121"/>
      <c r="Y75" s="121"/>
      <c r="Z75" s="121"/>
      <c r="AA75" s="121"/>
      <c r="AB75" s="121"/>
      <c r="AC75" s="121"/>
      <c r="AD75" s="121"/>
      <c r="AE75" s="121"/>
      <c r="AF75" s="121"/>
      <c r="AG75" s="121"/>
      <c r="AH75" s="121"/>
      <c r="AI75" s="121"/>
      <c r="AMD75"/>
      <c r="AME75"/>
      <c r="AMF75"/>
      <c r="AMG75"/>
      <c r="AMH75"/>
      <c r="AMI75"/>
      <c r="AMJ75"/>
    </row>
    <row r="76" spans="1:1024" s="122" customFormat="1">
      <c r="A76" s="133" t="s">
        <v>411</v>
      </c>
      <c r="B76" s="134" t="s">
        <v>790</v>
      </c>
      <c r="C76" s="133" t="s">
        <v>715</v>
      </c>
      <c r="D76" s="133"/>
      <c r="E76" s="133" t="s">
        <v>751</v>
      </c>
      <c r="F76" s="145">
        <v>1.5</v>
      </c>
      <c r="G76" s="128"/>
      <c r="H76" s="145" t="s">
        <v>717</v>
      </c>
      <c r="I76" s="137">
        <f t="shared" si="2"/>
        <v>0.44514818120497052</v>
      </c>
      <c r="J76" s="138">
        <v>6</v>
      </c>
      <c r="K76" s="138"/>
      <c r="L76" s="139" t="s">
        <v>710</v>
      </c>
      <c r="M76" s="121"/>
      <c r="N76" s="121"/>
      <c r="O76" s="121"/>
      <c r="P76" s="121"/>
      <c r="Q76" s="121"/>
      <c r="R76" s="121"/>
      <c r="S76" s="121"/>
      <c r="T76" s="121"/>
      <c r="U76" s="121"/>
      <c r="V76" s="121"/>
      <c r="W76" s="121"/>
      <c r="X76" s="121"/>
      <c r="Y76" s="121"/>
      <c r="Z76" s="121"/>
      <c r="AA76" s="121"/>
      <c r="AB76" s="121"/>
      <c r="AC76" s="121"/>
      <c r="AD76" s="121"/>
      <c r="AE76" s="121"/>
      <c r="AF76" s="121"/>
      <c r="AG76" s="121"/>
      <c r="AH76" s="121"/>
      <c r="AI76" s="121"/>
      <c r="AMD76"/>
      <c r="AME76"/>
      <c r="AMF76"/>
      <c r="AMG76"/>
      <c r="AMH76"/>
      <c r="AMI76"/>
      <c r="AMJ76"/>
    </row>
    <row r="77" spans="1:1024" s="122" customFormat="1">
      <c r="A77" s="133" t="s">
        <v>411</v>
      </c>
      <c r="B77" s="134" t="s">
        <v>791</v>
      </c>
      <c r="C77" s="133" t="s">
        <v>737</v>
      </c>
      <c r="D77" s="133"/>
      <c r="E77" s="133"/>
      <c r="F77" s="145">
        <v>233</v>
      </c>
      <c r="G77" s="128"/>
      <c r="H77" s="145" t="s">
        <v>717</v>
      </c>
      <c r="I77" s="137">
        <f t="shared" si="2"/>
        <v>69.146350813838751</v>
      </c>
      <c r="J77" s="141">
        <v>13.986236977487099</v>
      </c>
      <c r="K77" s="142"/>
      <c r="L77" s="139" t="s">
        <v>738</v>
      </c>
      <c r="M77" s="121"/>
      <c r="N77" s="121"/>
      <c r="O77" s="121"/>
      <c r="P77" s="121"/>
      <c r="Q77" s="121"/>
      <c r="R77" s="121"/>
      <c r="S77" s="121"/>
      <c r="T77" s="121"/>
      <c r="U77" s="121"/>
      <c r="V77" s="121"/>
      <c r="W77" s="121"/>
      <c r="X77" s="121"/>
      <c r="Y77" s="121"/>
      <c r="Z77" s="121"/>
      <c r="AA77" s="121"/>
      <c r="AB77" s="121"/>
      <c r="AC77" s="121"/>
      <c r="AD77" s="121"/>
      <c r="AE77" s="121"/>
      <c r="AF77" s="121"/>
      <c r="AG77" s="121"/>
      <c r="AH77" s="121"/>
      <c r="AI77" s="121"/>
      <c r="AMD77"/>
      <c r="AME77"/>
      <c r="AMF77"/>
      <c r="AMG77"/>
      <c r="AMH77"/>
      <c r="AMI77"/>
      <c r="AMJ77"/>
    </row>
    <row r="78" spans="1:1024" s="122" customFormat="1">
      <c r="A78" s="133" t="s">
        <v>411</v>
      </c>
      <c r="B78" s="134" t="s">
        <v>792</v>
      </c>
      <c r="C78" s="133" t="s">
        <v>715</v>
      </c>
      <c r="D78" s="133"/>
      <c r="E78" s="133" t="s">
        <v>751</v>
      </c>
      <c r="F78" s="145">
        <v>399</v>
      </c>
      <c r="G78" s="128"/>
      <c r="H78" s="145" t="s">
        <v>717</v>
      </c>
      <c r="I78" s="137">
        <f t="shared" si="2"/>
        <v>118.40941620052216</v>
      </c>
      <c r="J78" s="138">
        <v>11.9687110760277</v>
      </c>
      <c r="K78" s="138">
        <v>4.86704412710277</v>
      </c>
      <c r="L78" s="139" t="s">
        <v>710</v>
      </c>
      <c r="M78" s="121"/>
      <c r="N78" s="121"/>
      <c r="O78" s="121"/>
      <c r="P78" s="121"/>
      <c r="Q78" s="121"/>
      <c r="R78" s="121"/>
      <c r="S78" s="121"/>
      <c r="T78" s="121"/>
      <c r="U78" s="121"/>
      <c r="V78" s="121"/>
      <c r="W78" s="121"/>
      <c r="X78" s="121"/>
      <c r="Y78" s="121"/>
      <c r="Z78" s="121"/>
      <c r="AA78" s="121"/>
      <c r="AB78" s="121"/>
      <c r="AC78" s="121"/>
      <c r="AD78" s="121"/>
      <c r="AE78" s="121"/>
      <c r="AF78" s="121"/>
      <c r="AG78" s="121"/>
      <c r="AH78" s="121"/>
      <c r="AI78" s="121"/>
      <c r="AMD78"/>
      <c r="AME78"/>
      <c r="AMF78"/>
      <c r="AMG78"/>
      <c r="AMH78"/>
      <c r="AMI78"/>
      <c r="AMJ78"/>
    </row>
    <row r="79" spans="1:1024" s="122" customFormat="1">
      <c r="A79" s="133" t="s">
        <v>411</v>
      </c>
      <c r="B79" s="134" t="s">
        <v>793</v>
      </c>
      <c r="C79" s="133" t="s">
        <v>715</v>
      </c>
      <c r="D79" s="133"/>
      <c r="E79" s="133">
        <v>0</v>
      </c>
      <c r="F79" s="145">
        <v>70</v>
      </c>
      <c r="G79" s="128"/>
      <c r="H79" s="145" t="s">
        <v>717</v>
      </c>
      <c r="I79" s="137">
        <f t="shared" si="2"/>
        <v>20.773581789565291</v>
      </c>
      <c r="J79" s="138">
        <v>112.93</v>
      </c>
      <c r="K79" s="138">
        <v>57.29</v>
      </c>
      <c r="L79" s="139" t="s">
        <v>710</v>
      </c>
      <c r="M79" s="121"/>
      <c r="N79" s="121"/>
      <c r="O79" s="121"/>
      <c r="P79" s="121"/>
      <c r="Q79" s="121"/>
      <c r="R79" s="121"/>
      <c r="S79" s="121"/>
      <c r="T79" s="121"/>
      <c r="U79" s="121"/>
      <c r="V79" s="121"/>
      <c r="W79" s="121"/>
      <c r="X79" s="121"/>
      <c r="Y79" s="121"/>
      <c r="Z79" s="121"/>
      <c r="AA79" s="121"/>
      <c r="AB79" s="121"/>
      <c r="AC79" s="121"/>
      <c r="AD79" s="121"/>
      <c r="AE79" s="121"/>
      <c r="AF79" s="121"/>
      <c r="AG79" s="121"/>
      <c r="AH79" s="121"/>
      <c r="AI79" s="121"/>
      <c r="AMD79"/>
      <c r="AME79"/>
      <c r="AMF79"/>
      <c r="AMG79"/>
      <c r="AMH79"/>
      <c r="AMI79"/>
      <c r="AMJ79"/>
    </row>
    <row r="80" spans="1:1024" s="122" customFormat="1">
      <c r="A80" s="133" t="s">
        <v>412</v>
      </c>
      <c r="B80" s="147" t="s">
        <v>794</v>
      </c>
      <c r="C80" s="133" t="s">
        <v>715</v>
      </c>
      <c r="D80" s="133"/>
      <c r="E80" s="133" t="s">
        <v>751</v>
      </c>
      <c r="F80" s="145">
        <v>80</v>
      </c>
      <c r="G80" s="128"/>
      <c r="H80" s="145" t="s">
        <v>717</v>
      </c>
      <c r="I80" s="137">
        <f t="shared" si="2"/>
        <v>23.741236330931763</v>
      </c>
      <c r="J80" s="150">
        <f>389.133794880337*(ppi_usa_filt/ppi_usa_filt_base)</f>
        <v>389.13379488033701</v>
      </c>
      <c r="K80" s="150">
        <f>67.4460801185462*(ppi_usa_filt/ppi_usa_filt_base)</f>
        <v>67.446080118546206</v>
      </c>
      <c r="L80" s="139" t="s">
        <v>710</v>
      </c>
      <c r="M80" s="121"/>
      <c r="N80" s="121"/>
      <c r="O80" s="121"/>
      <c r="P80" s="121"/>
      <c r="Q80" s="121"/>
      <c r="R80" s="121"/>
      <c r="S80" s="121"/>
      <c r="T80" s="121"/>
      <c r="U80" s="121"/>
      <c r="V80" s="121"/>
      <c r="W80" s="121"/>
      <c r="X80" s="121"/>
      <c r="Y80" s="121"/>
      <c r="Z80" s="121"/>
      <c r="AA80" s="121"/>
      <c r="AB80" s="121"/>
      <c r="AC80" s="121"/>
      <c r="AD80" s="121"/>
      <c r="AE80" s="121"/>
      <c r="AF80" s="121"/>
      <c r="AG80" s="121"/>
      <c r="AH80" s="121"/>
      <c r="AI80" s="121"/>
      <c r="AMD80"/>
      <c r="AME80"/>
      <c r="AMF80"/>
      <c r="AMG80"/>
      <c r="AMH80"/>
      <c r="AMI80"/>
      <c r="AMJ80"/>
    </row>
    <row r="81" spans="1:1024" s="122" customFormat="1">
      <c r="A81" s="133" t="s">
        <v>412</v>
      </c>
      <c r="B81" s="147" t="s">
        <v>795</v>
      </c>
      <c r="C81" s="133" t="s">
        <v>715</v>
      </c>
      <c r="D81" s="133"/>
      <c r="E81" s="133" t="s">
        <v>751</v>
      </c>
      <c r="F81" s="145">
        <v>70</v>
      </c>
      <c r="G81" s="128"/>
      <c r="H81" s="145" t="s">
        <v>717</v>
      </c>
      <c r="I81" s="137">
        <f t="shared" si="2"/>
        <v>20.773581789565291</v>
      </c>
      <c r="J81" s="151">
        <v>18.814285714285699</v>
      </c>
      <c r="K81" s="151">
        <v>8.2225684491515008</v>
      </c>
      <c r="L81" s="139" t="s">
        <v>710</v>
      </c>
      <c r="M81" s="121"/>
      <c r="N81" s="121"/>
      <c r="O81" s="121"/>
      <c r="P81" s="121"/>
      <c r="Q81" s="121"/>
      <c r="R81" s="121"/>
      <c r="S81" s="121"/>
      <c r="T81" s="121"/>
      <c r="U81" s="121"/>
      <c r="V81" s="121"/>
      <c r="W81" s="121"/>
      <c r="X81" s="121"/>
      <c r="Y81" s="121"/>
      <c r="Z81" s="121"/>
      <c r="AA81" s="121"/>
      <c r="AB81" s="121"/>
      <c r="AC81" s="121"/>
      <c r="AD81" s="121"/>
      <c r="AE81" s="121"/>
      <c r="AF81" s="121"/>
      <c r="AG81" s="121"/>
      <c r="AH81" s="121"/>
      <c r="AI81" s="121"/>
      <c r="AMD81"/>
      <c r="AME81"/>
      <c r="AMF81"/>
      <c r="AMG81"/>
      <c r="AMH81"/>
      <c r="AMI81"/>
      <c r="AMJ81"/>
    </row>
    <row r="82" spans="1:1024" s="122" customFormat="1">
      <c r="A82" s="133" t="s">
        <v>412</v>
      </c>
      <c r="B82" s="147" t="s">
        <v>796</v>
      </c>
      <c r="C82" s="133" t="s">
        <v>715</v>
      </c>
      <c r="D82" s="133"/>
      <c r="E82" s="133" t="s">
        <v>751</v>
      </c>
      <c r="F82" s="145">
        <v>30</v>
      </c>
      <c r="G82" s="128"/>
      <c r="H82" s="145" t="s">
        <v>717</v>
      </c>
      <c r="I82" s="137">
        <f t="shared" si="2"/>
        <v>8.9029636240994101</v>
      </c>
      <c r="J82" s="150">
        <v>87.7</v>
      </c>
      <c r="K82" s="143">
        <v>16.234580713642</v>
      </c>
      <c r="L82" s="139" t="s">
        <v>710</v>
      </c>
      <c r="M82" s="121"/>
      <c r="N82" s="121"/>
      <c r="O82" s="121"/>
      <c r="P82" s="121"/>
      <c r="Q82" s="121"/>
      <c r="R82" s="121"/>
      <c r="S82" s="121"/>
      <c r="T82" s="121"/>
      <c r="U82" s="121"/>
      <c r="V82" s="121"/>
      <c r="W82" s="121"/>
      <c r="X82" s="121"/>
      <c r="Y82" s="121"/>
      <c r="Z82" s="121"/>
      <c r="AA82" s="121"/>
      <c r="AB82" s="121"/>
      <c r="AC82" s="121"/>
      <c r="AD82" s="121"/>
      <c r="AE82" s="121"/>
      <c r="AF82" s="121"/>
      <c r="AG82" s="121"/>
      <c r="AH82" s="121"/>
      <c r="AI82" s="121"/>
      <c r="AMD82"/>
      <c r="AME82"/>
      <c r="AMF82"/>
      <c r="AMG82"/>
      <c r="AMH82"/>
      <c r="AMI82"/>
      <c r="AMJ82"/>
    </row>
    <row r="83" spans="1:1024" s="122" customFormat="1">
      <c r="A83" s="133" t="s">
        <v>412</v>
      </c>
      <c r="B83" s="147" t="s">
        <v>797</v>
      </c>
      <c r="C83" s="133" t="s">
        <v>715</v>
      </c>
      <c r="D83" s="133"/>
      <c r="E83" s="149"/>
      <c r="F83" s="145">
        <v>1</v>
      </c>
      <c r="G83" s="128"/>
      <c r="H83" s="145" t="s">
        <v>717</v>
      </c>
      <c r="I83" s="137">
        <f>F83</f>
        <v>1</v>
      </c>
      <c r="J83" s="138">
        <v>45364</v>
      </c>
      <c r="K83" s="138">
        <v>33400</v>
      </c>
      <c r="L83" s="139" t="s">
        <v>710</v>
      </c>
      <c r="M83" s="121"/>
      <c r="N83" s="121"/>
      <c r="O83" s="121"/>
      <c r="P83" s="121"/>
      <c r="Q83" s="121"/>
      <c r="R83" s="121"/>
      <c r="S83" s="121"/>
      <c r="T83" s="121"/>
      <c r="U83" s="121"/>
      <c r="V83" s="121"/>
      <c r="W83" s="121"/>
      <c r="X83" s="121"/>
      <c r="Y83" s="121"/>
      <c r="Z83" s="121"/>
      <c r="AA83" s="121"/>
      <c r="AB83" s="121"/>
      <c r="AC83" s="121"/>
      <c r="AD83" s="121"/>
      <c r="AE83" s="121"/>
      <c r="AF83" s="121"/>
      <c r="AG83" s="121"/>
      <c r="AH83" s="121"/>
      <c r="AI83" s="121"/>
      <c r="AMD83"/>
      <c r="AME83"/>
      <c r="AMF83"/>
      <c r="AMG83"/>
      <c r="AMH83"/>
      <c r="AMI83"/>
      <c r="AMJ83"/>
    </row>
    <row r="84" spans="1:1024" s="122" customFormat="1">
      <c r="A84" s="133" t="s">
        <v>411</v>
      </c>
      <c r="B84" s="147" t="s">
        <v>798</v>
      </c>
      <c r="C84" s="133" t="s">
        <v>708</v>
      </c>
      <c r="D84" s="133" t="s">
        <v>799</v>
      </c>
      <c r="E84" s="133"/>
      <c r="F84" s="145">
        <v>64.735131390000006</v>
      </c>
      <c r="G84" s="128"/>
      <c r="H84" s="145" t="s">
        <v>717</v>
      </c>
      <c r="I84" s="137">
        <f t="shared" ref="I84:I115" si="3">IF(A84="Equipos Rotativos",F84,F84*fac_piping)</f>
        <v>19.211150665548864</v>
      </c>
      <c r="J84" s="138">
        <v>2.88869422189644</v>
      </c>
      <c r="K84" s="138">
        <v>3.0186868065865999</v>
      </c>
      <c r="L84" s="139" t="s">
        <v>710</v>
      </c>
      <c r="M84" s="121"/>
      <c r="N84" s="121"/>
      <c r="O84" s="121"/>
      <c r="P84" s="121"/>
      <c r="Q84" s="121"/>
      <c r="R84" s="121"/>
      <c r="S84" s="121"/>
      <c r="T84" s="121"/>
      <c r="U84" s="121"/>
      <c r="V84" s="121"/>
      <c r="W84" s="121"/>
      <c r="X84" s="121"/>
      <c r="Y84" s="121"/>
      <c r="Z84" s="121"/>
      <c r="AA84" s="121"/>
      <c r="AB84" s="121"/>
      <c r="AC84" s="121"/>
      <c r="AD84" s="121"/>
      <c r="AE84" s="121"/>
      <c r="AF84" s="121"/>
      <c r="AG84" s="121"/>
      <c r="AH84" s="121"/>
      <c r="AI84" s="121"/>
      <c r="AMD84"/>
      <c r="AME84"/>
      <c r="AMF84"/>
      <c r="AMG84"/>
      <c r="AMH84"/>
      <c r="AMI84"/>
      <c r="AMJ84"/>
    </row>
    <row r="85" spans="1:1024" s="122" customFormat="1">
      <c r="A85" s="133" t="s">
        <v>411</v>
      </c>
      <c r="B85" s="147" t="s">
        <v>800</v>
      </c>
      <c r="C85" s="133" t="s">
        <v>708</v>
      </c>
      <c r="D85" s="133" t="s">
        <v>799</v>
      </c>
      <c r="E85" s="133"/>
      <c r="F85" s="145">
        <v>97.593791185200004</v>
      </c>
      <c r="G85" s="128"/>
      <c r="H85" s="145" t="s">
        <v>717</v>
      </c>
      <c r="I85" s="137">
        <f t="shared" si="3"/>
        <v>28.962465761992977</v>
      </c>
      <c r="J85" s="138">
        <v>2.8940886699507402</v>
      </c>
      <c r="K85" s="138">
        <v>4.82989889053857</v>
      </c>
      <c r="L85" s="139" t="s">
        <v>710</v>
      </c>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MD85"/>
      <c r="AME85"/>
      <c r="AMF85"/>
      <c r="AMG85"/>
      <c r="AMH85"/>
      <c r="AMI85"/>
      <c r="AMJ85"/>
    </row>
    <row r="86" spans="1:1024" s="122" customFormat="1">
      <c r="A86" s="133" t="s">
        <v>411</v>
      </c>
      <c r="B86" s="147" t="s">
        <v>801</v>
      </c>
      <c r="C86" s="133" t="s">
        <v>708</v>
      </c>
      <c r="D86" s="133" t="s">
        <v>799</v>
      </c>
      <c r="E86" s="133"/>
      <c r="F86" s="145">
        <v>22.35</v>
      </c>
      <c r="G86" s="128"/>
      <c r="H86" s="145" t="s">
        <v>717</v>
      </c>
      <c r="I86" s="137">
        <f t="shared" si="3"/>
        <v>6.6327078999540614</v>
      </c>
      <c r="J86" s="138">
        <v>2.9121863799283201</v>
      </c>
      <c r="K86" s="138">
        <v>3.63200796177175</v>
      </c>
      <c r="L86" s="139" t="s">
        <v>710</v>
      </c>
      <c r="M86" s="121"/>
      <c r="N86" s="121"/>
      <c r="O86" s="121"/>
      <c r="P86" s="121"/>
      <c r="Q86" s="121"/>
      <c r="R86" s="121"/>
      <c r="S86" s="121"/>
      <c r="T86" s="121"/>
      <c r="U86" s="121"/>
      <c r="V86" s="121"/>
      <c r="W86" s="121"/>
      <c r="X86" s="121"/>
      <c r="Y86" s="121"/>
      <c r="Z86" s="121"/>
      <c r="AA86" s="121"/>
      <c r="AB86" s="121"/>
      <c r="AC86" s="121"/>
      <c r="AD86" s="121"/>
      <c r="AE86" s="121"/>
      <c r="AF86" s="121"/>
      <c r="AG86" s="121"/>
      <c r="AH86" s="121"/>
      <c r="AI86" s="121"/>
      <c r="AMD86"/>
      <c r="AME86"/>
      <c r="AMF86"/>
      <c r="AMG86"/>
      <c r="AMH86"/>
      <c r="AMI86"/>
      <c r="AMJ86"/>
    </row>
    <row r="87" spans="1:1024" s="122" customFormat="1">
      <c r="A87" s="133" t="s">
        <v>411</v>
      </c>
      <c r="B87" s="147" t="s">
        <v>802</v>
      </c>
      <c r="C87" s="133" t="s">
        <v>708</v>
      </c>
      <c r="D87" s="133" t="s">
        <v>799</v>
      </c>
      <c r="E87" s="133"/>
      <c r="F87" s="145">
        <v>7.49</v>
      </c>
      <c r="G87" s="128"/>
      <c r="H87" s="145" t="s">
        <v>717</v>
      </c>
      <c r="I87" s="137">
        <f t="shared" si="3"/>
        <v>2.2227732514834861</v>
      </c>
      <c r="J87" s="138">
        <v>3.6096256684491999</v>
      </c>
      <c r="K87" s="138">
        <v>3.63200796177175</v>
      </c>
      <c r="L87" s="139" t="s">
        <v>710</v>
      </c>
      <c r="M87" s="121"/>
      <c r="N87" s="121"/>
      <c r="O87" s="121"/>
      <c r="P87" s="121"/>
      <c r="Q87" s="121"/>
      <c r="R87" s="121"/>
      <c r="S87" s="121"/>
      <c r="T87" s="121"/>
      <c r="U87" s="121"/>
      <c r="V87" s="121"/>
      <c r="W87" s="121"/>
      <c r="X87" s="121"/>
      <c r="Y87" s="121"/>
      <c r="Z87" s="121"/>
      <c r="AA87" s="121"/>
      <c r="AB87" s="121"/>
      <c r="AC87" s="121"/>
      <c r="AD87" s="121"/>
      <c r="AE87" s="121"/>
      <c r="AF87" s="121"/>
      <c r="AG87" s="121"/>
      <c r="AH87" s="121"/>
      <c r="AI87" s="121"/>
      <c r="AMD87"/>
      <c r="AME87"/>
      <c r="AMF87"/>
      <c r="AMG87"/>
      <c r="AMH87"/>
      <c r="AMI87"/>
      <c r="AMJ87"/>
    </row>
    <row r="88" spans="1:1024" s="122" customFormat="1">
      <c r="A88" s="133" t="s">
        <v>411</v>
      </c>
      <c r="B88" s="147" t="s">
        <v>803</v>
      </c>
      <c r="C88" s="133" t="s">
        <v>715</v>
      </c>
      <c r="D88" s="133" t="s">
        <v>799</v>
      </c>
      <c r="E88" s="133"/>
      <c r="F88" s="145">
        <v>19.504471909999999</v>
      </c>
      <c r="G88" s="128"/>
      <c r="H88" s="145" t="s">
        <v>717</v>
      </c>
      <c r="I88" s="137">
        <f t="shared" si="3"/>
        <v>5.7882534640666243</v>
      </c>
      <c r="J88" s="138">
        <v>84.390903152629903</v>
      </c>
      <c r="K88" s="138">
        <v>32.537560644873601</v>
      </c>
      <c r="L88" s="139" t="s">
        <v>710</v>
      </c>
      <c r="M88" s="121"/>
      <c r="N88" s="121"/>
      <c r="O88" s="121"/>
      <c r="P88" s="121"/>
      <c r="Q88" s="121"/>
      <c r="R88" s="121"/>
      <c r="S88" s="121"/>
      <c r="T88" s="121"/>
      <c r="U88" s="121"/>
      <c r="V88" s="121"/>
      <c r="W88" s="121"/>
      <c r="X88" s="121"/>
      <c r="Y88" s="121"/>
      <c r="Z88" s="121"/>
      <c r="AA88" s="121"/>
      <c r="AB88" s="121"/>
      <c r="AC88" s="121"/>
      <c r="AD88" s="121"/>
      <c r="AE88" s="121"/>
      <c r="AF88" s="121"/>
      <c r="AG88" s="121"/>
      <c r="AH88" s="121"/>
      <c r="AI88" s="121"/>
      <c r="AMD88"/>
      <c r="AME88"/>
      <c r="AMF88"/>
      <c r="AMG88"/>
      <c r="AMH88"/>
      <c r="AMI88"/>
      <c r="AMJ88"/>
    </row>
    <row r="89" spans="1:1024" s="122" customFormat="1">
      <c r="A89" s="133" t="s">
        <v>411</v>
      </c>
      <c r="B89" s="147" t="s">
        <v>804</v>
      </c>
      <c r="C89" s="133" t="s">
        <v>715</v>
      </c>
      <c r="D89" s="133" t="s">
        <v>799</v>
      </c>
      <c r="E89" s="133"/>
      <c r="F89" s="145">
        <v>3.8555351450000002</v>
      </c>
      <c r="G89" s="128"/>
      <c r="H89" s="145" t="s">
        <v>717</v>
      </c>
      <c r="I89" s="137">
        <f t="shared" si="3"/>
        <v>1.1441896382457282</v>
      </c>
      <c r="J89" s="138">
        <v>147.320664612954</v>
      </c>
      <c r="K89" s="138">
        <v>39.174114114961</v>
      </c>
      <c r="L89" s="139" t="s">
        <v>710</v>
      </c>
      <c r="M89" s="121"/>
      <c r="N89" s="121"/>
      <c r="O89" s="121"/>
      <c r="P89" s="121"/>
      <c r="Q89" s="121"/>
      <c r="R89" s="121"/>
      <c r="S89" s="121"/>
      <c r="T89" s="121"/>
      <c r="U89" s="121"/>
      <c r="V89" s="121"/>
      <c r="W89" s="121"/>
      <c r="X89" s="121"/>
      <c r="Y89" s="121"/>
      <c r="Z89" s="121"/>
      <c r="AA89" s="121"/>
      <c r="AB89" s="121"/>
      <c r="AC89" s="121"/>
      <c r="AD89" s="121"/>
      <c r="AE89" s="121"/>
      <c r="AF89" s="121"/>
      <c r="AG89" s="121"/>
      <c r="AH89" s="121"/>
      <c r="AI89" s="121"/>
      <c r="AMD89"/>
      <c r="AME89"/>
      <c r="AMF89"/>
      <c r="AMG89"/>
      <c r="AMH89"/>
      <c r="AMI89"/>
      <c r="AMJ89"/>
    </row>
    <row r="90" spans="1:1024" s="122" customFormat="1">
      <c r="A90" s="133" t="s">
        <v>411</v>
      </c>
      <c r="B90" s="147" t="s">
        <v>805</v>
      </c>
      <c r="C90" s="133" t="s">
        <v>715</v>
      </c>
      <c r="D90" s="133" t="s">
        <v>799</v>
      </c>
      <c r="E90" s="133"/>
      <c r="F90" s="145">
        <v>0.90718474000000004</v>
      </c>
      <c r="G90" s="128"/>
      <c r="H90" s="145" t="s">
        <v>717</v>
      </c>
      <c r="I90" s="137">
        <f t="shared" si="3"/>
        <v>0.26922109135193606</v>
      </c>
      <c r="J90" s="138">
        <v>209.43914907563399</v>
      </c>
      <c r="K90" s="138">
        <v>49.114459259422397</v>
      </c>
      <c r="L90" s="139" t="s">
        <v>710</v>
      </c>
      <c r="M90" s="121"/>
      <c r="N90" s="121"/>
      <c r="O90" s="121"/>
      <c r="P90" s="121"/>
      <c r="Q90" s="121"/>
      <c r="R90" s="121"/>
      <c r="S90" s="121"/>
      <c r="T90" s="121"/>
      <c r="U90" s="121"/>
      <c r="V90" s="121"/>
      <c r="W90" s="121"/>
      <c r="X90" s="121"/>
      <c r="Y90" s="121"/>
      <c r="Z90" s="121"/>
      <c r="AA90" s="121"/>
      <c r="AB90" s="121"/>
      <c r="AC90" s="121"/>
      <c r="AD90" s="121"/>
      <c r="AE90" s="121"/>
      <c r="AF90" s="121"/>
      <c r="AG90" s="121"/>
      <c r="AH90" s="121"/>
      <c r="AI90" s="121"/>
      <c r="AMD90"/>
      <c r="AME90"/>
      <c r="AMF90"/>
      <c r="AMG90"/>
      <c r="AMH90"/>
      <c r="AMI90"/>
      <c r="AMJ90"/>
    </row>
    <row r="91" spans="1:1024" s="122" customFormat="1">
      <c r="A91" s="133" t="s">
        <v>411</v>
      </c>
      <c r="B91" s="147" t="s">
        <v>806</v>
      </c>
      <c r="C91" s="133" t="s">
        <v>715</v>
      </c>
      <c r="D91" s="133"/>
      <c r="E91" s="133" t="s">
        <v>807</v>
      </c>
      <c r="F91" s="145">
        <v>168.73636164000001</v>
      </c>
      <c r="G91" s="128"/>
      <c r="H91" s="145" t="s">
        <v>717</v>
      </c>
      <c r="I91" s="137">
        <f t="shared" si="3"/>
        <v>50.075122991460105</v>
      </c>
      <c r="J91" s="138">
        <v>11.135714802295301</v>
      </c>
      <c r="K91" s="138">
        <v>5.5417210439425002</v>
      </c>
      <c r="L91" s="139" t="s">
        <v>710</v>
      </c>
      <c r="M91" s="121"/>
      <c r="N91" s="121"/>
      <c r="O91" s="121"/>
      <c r="P91" s="121"/>
      <c r="Q91" s="121"/>
      <c r="R91" s="121"/>
      <c r="S91" s="121"/>
      <c r="T91" s="121"/>
      <c r="U91" s="121"/>
      <c r="V91" s="121"/>
      <c r="W91" s="121"/>
      <c r="X91" s="121"/>
      <c r="Y91" s="121"/>
      <c r="Z91" s="121"/>
      <c r="AA91" s="121"/>
      <c r="AB91" s="121"/>
      <c r="AC91" s="121"/>
      <c r="AD91" s="121"/>
      <c r="AE91" s="121"/>
      <c r="AF91" s="121"/>
      <c r="AG91" s="121"/>
      <c r="AH91" s="121"/>
      <c r="AI91" s="121"/>
      <c r="AMD91"/>
      <c r="AME91"/>
      <c r="AMF91"/>
      <c r="AMG91"/>
      <c r="AMH91"/>
      <c r="AMI91"/>
      <c r="AMJ91"/>
    </row>
    <row r="92" spans="1:1024" s="122" customFormat="1">
      <c r="A92" s="133" t="s">
        <v>411</v>
      </c>
      <c r="B92" s="147" t="s">
        <v>808</v>
      </c>
      <c r="C92" s="133" t="s">
        <v>715</v>
      </c>
      <c r="D92" s="133"/>
      <c r="E92" s="133" t="s">
        <v>807</v>
      </c>
      <c r="F92" s="145">
        <v>84.821773190000002</v>
      </c>
      <c r="G92" s="128"/>
      <c r="H92" s="145" t="s">
        <v>717</v>
      </c>
      <c r="I92" s="137">
        <f t="shared" si="3"/>
        <v>25.172172041406021</v>
      </c>
      <c r="J92" s="138">
        <v>8.0639672371366995</v>
      </c>
      <c r="K92" s="138">
        <v>5.5417210439425002</v>
      </c>
      <c r="L92" s="139" t="s">
        <v>710</v>
      </c>
      <c r="M92" s="121"/>
      <c r="N92" s="121"/>
      <c r="O92" s="121"/>
      <c r="P92" s="121"/>
      <c r="Q92" s="121"/>
      <c r="R92" s="121"/>
      <c r="S92" s="121"/>
      <c r="T92" s="121"/>
      <c r="U92" s="121"/>
      <c r="V92" s="121"/>
      <c r="W92" s="121"/>
      <c r="X92" s="121"/>
      <c r="Y92" s="121"/>
      <c r="Z92" s="121"/>
      <c r="AA92" s="121"/>
      <c r="AB92" s="121"/>
      <c r="AC92" s="121"/>
      <c r="AD92" s="121"/>
      <c r="AE92" s="121"/>
      <c r="AF92" s="121"/>
      <c r="AG92" s="121"/>
      <c r="AH92" s="121"/>
      <c r="AI92" s="121"/>
      <c r="AMD92"/>
      <c r="AME92"/>
      <c r="AMF92"/>
      <c r="AMG92"/>
      <c r="AMH92"/>
      <c r="AMI92"/>
      <c r="AMJ92"/>
    </row>
    <row r="93" spans="1:1024" s="122" customFormat="1">
      <c r="A93" s="133" t="s">
        <v>411</v>
      </c>
      <c r="B93" s="147" t="s">
        <v>809</v>
      </c>
      <c r="C93" s="133" t="s">
        <v>715</v>
      </c>
      <c r="D93" s="133"/>
      <c r="E93" s="133" t="s">
        <v>807</v>
      </c>
      <c r="F93" s="145">
        <v>23.133210869999999</v>
      </c>
      <c r="G93" s="128"/>
      <c r="H93" s="145" t="s">
        <v>717</v>
      </c>
      <c r="I93" s="137">
        <f t="shared" si="3"/>
        <v>6.865137829474369</v>
      </c>
      <c r="J93" s="138">
        <v>24.553444102158899</v>
      </c>
      <c r="K93" s="138">
        <v>10.091973277072899</v>
      </c>
      <c r="L93" s="139" t="s">
        <v>710</v>
      </c>
      <c r="M93" s="121"/>
      <c r="N93" s="121"/>
      <c r="O93" s="121"/>
      <c r="P93" s="121"/>
      <c r="Q93" s="121"/>
      <c r="R93" s="121"/>
      <c r="S93" s="121"/>
      <c r="T93" s="121"/>
      <c r="U93" s="121"/>
      <c r="V93" s="121"/>
      <c r="W93" s="121"/>
      <c r="X93" s="121"/>
      <c r="Y93" s="121"/>
      <c r="Z93" s="121"/>
      <c r="AA93" s="121"/>
      <c r="AB93" s="121"/>
      <c r="AC93" s="121"/>
      <c r="AD93" s="121"/>
      <c r="AE93" s="121"/>
      <c r="AF93" s="121"/>
      <c r="AG93" s="121"/>
      <c r="AH93" s="121"/>
      <c r="AI93" s="121"/>
      <c r="AMD93"/>
      <c r="AME93"/>
      <c r="AMF93"/>
      <c r="AMG93"/>
      <c r="AMH93"/>
      <c r="AMI93"/>
      <c r="AMJ93"/>
    </row>
    <row r="94" spans="1:1024" s="122" customFormat="1">
      <c r="A94" s="133" t="s">
        <v>411</v>
      </c>
      <c r="B94" s="147" t="s">
        <v>810</v>
      </c>
      <c r="C94" s="133" t="s">
        <v>715</v>
      </c>
      <c r="D94" s="133"/>
      <c r="E94" s="133" t="s">
        <v>807</v>
      </c>
      <c r="F94" s="145">
        <v>6.8038855500000004</v>
      </c>
      <c r="G94" s="128"/>
      <c r="H94" s="145" t="s">
        <v>717</v>
      </c>
      <c r="I94" s="137">
        <f t="shared" si="3"/>
        <v>2.0191581851395206</v>
      </c>
      <c r="J94" s="138">
        <v>36.1558109983199</v>
      </c>
      <c r="K94" s="138">
        <v>12.140815688458799</v>
      </c>
      <c r="L94" s="139" t="s">
        <v>710</v>
      </c>
      <c r="M94" s="121"/>
      <c r="N94" s="121"/>
      <c r="O94" s="121"/>
      <c r="P94" s="121"/>
      <c r="Q94" s="121"/>
      <c r="R94" s="121"/>
      <c r="S94" s="121"/>
      <c r="T94" s="121"/>
      <c r="U94" s="121"/>
      <c r="V94" s="121"/>
      <c r="W94" s="121"/>
      <c r="X94" s="121"/>
      <c r="Y94" s="121"/>
      <c r="Z94" s="121"/>
      <c r="AA94" s="121"/>
      <c r="AB94" s="121"/>
      <c r="AC94" s="121"/>
      <c r="AD94" s="121"/>
      <c r="AE94" s="121"/>
      <c r="AF94" s="121"/>
      <c r="AG94" s="121"/>
      <c r="AH94" s="121"/>
      <c r="AI94" s="121"/>
      <c r="AMD94"/>
      <c r="AME94"/>
      <c r="AMF94"/>
      <c r="AMG94"/>
      <c r="AMH94"/>
      <c r="AMI94"/>
      <c r="AMJ94"/>
    </row>
    <row r="95" spans="1:1024" s="122" customFormat="1">
      <c r="A95" s="133" t="s">
        <v>411</v>
      </c>
      <c r="B95" s="147" t="s">
        <v>811</v>
      </c>
      <c r="C95" s="133" t="s">
        <v>715</v>
      </c>
      <c r="D95" s="133"/>
      <c r="E95" s="133" t="s">
        <v>807</v>
      </c>
      <c r="F95" s="145">
        <v>178.71539378</v>
      </c>
      <c r="G95" s="128"/>
      <c r="H95" s="145" t="s">
        <v>717</v>
      </c>
      <c r="I95" s="137">
        <f t="shared" si="3"/>
        <v>53.036554996331404</v>
      </c>
      <c r="J95" s="138">
        <v>11.672189820245</v>
      </c>
      <c r="K95" s="138">
        <v>7.2198468881246196</v>
      </c>
      <c r="L95" s="139" t="s">
        <v>710</v>
      </c>
      <c r="M95" s="121"/>
      <c r="N95" s="121"/>
      <c r="O95" s="121"/>
      <c r="P95" s="121"/>
      <c r="Q95" s="121"/>
      <c r="R95" s="121"/>
      <c r="S95" s="121"/>
      <c r="T95" s="121"/>
      <c r="U95" s="121"/>
      <c r="V95" s="121"/>
      <c r="W95" s="121"/>
      <c r="X95" s="121"/>
      <c r="Y95" s="121"/>
      <c r="Z95" s="121"/>
      <c r="AA95" s="121"/>
      <c r="AB95" s="121"/>
      <c r="AC95" s="121"/>
      <c r="AD95" s="121"/>
      <c r="AE95" s="121"/>
      <c r="AF95" s="121"/>
      <c r="AG95" s="121"/>
      <c r="AH95" s="121"/>
      <c r="AI95" s="121"/>
      <c r="AMD95"/>
      <c r="AME95"/>
      <c r="AMF95"/>
      <c r="AMG95"/>
      <c r="AMH95"/>
      <c r="AMI95"/>
      <c r="AMJ95"/>
    </row>
    <row r="96" spans="1:1024" s="122" customFormat="1">
      <c r="A96" s="133" t="s">
        <v>411</v>
      </c>
      <c r="B96" s="147" t="s">
        <v>812</v>
      </c>
      <c r="C96" s="133" t="s">
        <v>715</v>
      </c>
      <c r="D96" s="133" t="s">
        <v>716</v>
      </c>
      <c r="E96" s="133"/>
      <c r="F96" s="145">
        <v>58.059823360000003</v>
      </c>
      <c r="G96" s="128"/>
      <c r="H96" s="145" t="s">
        <v>717</v>
      </c>
      <c r="I96" s="137">
        <f t="shared" si="3"/>
        <v>17.230149846523908</v>
      </c>
      <c r="J96" s="150">
        <v>38.822026481618302</v>
      </c>
      <c r="K96" s="143">
        <v>10.134749337368</v>
      </c>
      <c r="L96" s="139" t="s">
        <v>710</v>
      </c>
      <c r="M96" s="121"/>
      <c r="N96" s="121"/>
      <c r="O96" s="121"/>
      <c r="P96" s="121"/>
      <c r="Q96" s="121"/>
      <c r="R96" s="121"/>
      <c r="S96" s="121"/>
      <c r="T96" s="121"/>
      <c r="U96" s="121"/>
      <c r="V96" s="121"/>
      <c r="W96" s="121"/>
      <c r="X96" s="121"/>
      <c r="Y96" s="121"/>
      <c r="Z96" s="121"/>
      <c r="AA96" s="121"/>
      <c r="AB96" s="121"/>
      <c r="AC96" s="121"/>
      <c r="AD96" s="121"/>
      <c r="AE96" s="121"/>
      <c r="AF96" s="121"/>
      <c r="AG96" s="121"/>
      <c r="AH96" s="121"/>
      <c r="AI96" s="121"/>
      <c r="AMD96"/>
      <c r="AME96"/>
      <c r="AMF96"/>
      <c r="AMG96"/>
      <c r="AMH96"/>
      <c r="AMI96"/>
      <c r="AMJ96"/>
    </row>
    <row r="97" spans="1:1024" s="122" customFormat="1">
      <c r="A97" s="133" t="s">
        <v>411</v>
      </c>
      <c r="B97" s="147" t="s">
        <v>813</v>
      </c>
      <c r="C97" s="133" t="s">
        <v>715</v>
      </c>
      <c r="D97" s="133" t="s">
        <v>799</v>
      </c>
      <c r="E97" s="133"/>
      <c r="F97" s="145">
        <v>71.214002089999994</v>
      </c>
      <c r="G97" s="128"/>
      <c r="H97" s="145" t="s">
        <v>717</v>
      </c>
      <c r="I97" s="137">
        <f t="shared" si="3"/>
        <v>21.133855671126977</v>
      </c>
      <c r="J97" s="138">
        <v>17.4825169694377</v>
      </c>
      <c r="K97" s="138">
        <v>10.134749337368</v>
      </c>
      <c r="L97" s="139" t="s">
        <v>710</v>
      </c>
      <c r="M97" s="121"/>
      <c r="N97" s="121"/>
      <c r="O97" s="121"/>
      <c r="P97" s="121"/>
      <c r="Q97" s="121"/>
      <c r="R97" s="121"/>
      <c r="S97" s="121"/>
      <c r="T97" s="121"/>
      <c r="U97" s="121"/>
      <c r="V97" s="121"/>
      <c r="W97" s="121"/>
      <c r="X97" s="121"/>
      <c r="Y97" s="121"/>
      <c r="Z97" s="121"/>
      <c r="AA97" s="121"/>
      <c r="AB97" s="121"/>
      <c r="AC97" s="121"/>
      <c r="AD97" s="121"/>
      <c r="AE97" s="121"/>
      <c r="AF97" s="121"/>
      <c r="AG97" s="121"/>
      <c r="AH97" s="121"/>
      <c r="AI97" s="121"/>
      <c r="AMD97"/>
      <c r="AME97"/>
      <c r="AMF97"/>
      <c r="AMG97"/>
      <c r="AMH97"/>
      <c r="AMI97"/>
      <c r="AMJ97"/>
    </row>
    <row r="98" spans="1:1024" s="122" customFormat="1">
      <c r="A98" s="133" t="s">
        <v>411</v>
      </c>
      <c r="B98" s="147" t="s">
        <v>814</v>
      </c>
      <c r="C98" s="133" t="s">
        <v>715</v>
      </c>
      <c r="D98" s="133" t="s">
        <v>716</v>
      </c>
      <c r="E98" s="133"/>
      <c r="F98" s="145">
        <v>63.956524170000002</v>
      </c>
      <c r="G98" s="128"/>
      <c r="H98" s="145" t="s">
        <v>717</v>
      </c>
      <c r="I98" s="137">
        <f t="shared" si="3"/>
        <v>18.980086940311491</v>
      </c>
      <c r="J98" s="138">
        <v>19.825967975207401</v>
      </c>
      <c r="K98" s="138">
        <v>10.134749337368</v>
      </c>
      <c r="L98" s="139" t="s">
        <v>710</v>
      </c>
      <c r="M98" s="121"/>
      <c r="N98" s="121"/>
      <c r="O98" s="121"/>
      <c r="P98" s="121"/>
      <c r="Q98" s="121"/>
      <c r="R98" s="121"/>
      <c r="S98" s="121"/>
      <c r="T98" s="121"/>
      <c r="U98" s="121"/>
      <c r="V98" s="121"/>
      <c r="W98" s="121"/>
      <c r="X98" s="121"/>
      <c r="Y98" s="121"/>
      <c r="Z98" s="121"/>
      <c r="AA98" s="121"/>
      <c r="AB98" s="121"/>
      <c r="AC98" s="121"/>
      <c r="AD98" s="121"/>
      <c r="AE98" s="121"/>
      <c r="AF98" s="121"/>
      <c r="AG98" s="121"/>
      <c r="AH98" s="121"/>
      <c r="AI98" s="121"/>
      <c r="AMD98"/>
      <c r="AME98"/>
      <c r="AMF98"/>
      <c r="AMG98"/>
      <c r="AMH98"/>
      <c r="AMI98"/>
      <c r="AMJ98"/>
    </row>
    <row r="99" spans="1:1024" s="122" customFormat="1">
      <c r="A99" s="133" t="s">
        <v>411</v>
      </c>
      <c r="B99" s="147" t="s">
        <v>815</v>
      </c>
      <c r="C99" s="133" t="s">
        <v>715</v>
      </c>
      <c r="D99" s="133" t="s">
        <v>799</v>
      </c>
      <c r="E99" s="133"/>
      <c r="F99" s="145">
        <v>74.842741050000001</v>
      </c>
      <c r="G99" s="128"/>
      <c r="H99" s="145" t="s">
        <v>717</v>
      </c>
      <c r="I99" s="137">
        <f t="shared" si="3"/>
        <v>22.210740036534723</v>
      </c>
      <c r="J99" s="138">
        <v>13.9893326368222</v>
      </c>
      <c r="K99" s="138">
        <v>10.134749337368</v>
      </c>
      <c r="L99" s="139" t="s">
        <v>710</v>
      </c>
      <c r="M99" s="121"/>
      <c r="N99" s="121"/>
      <c r="O99" s="121"/>
      <c r="P99" s="121"/>
      <c r="Q99" s="121"/>
      <c r="R99" s="121"/>
      <c r="S99" s="121"/>
      <c r="T99" s="121"/>
      <c r="U99" s="121"/>
      <c r="V99" s="121"/>
      <c r="W99" s="121"/>
      <c r="X99" s="121"/>
      <c r="Y99" s="121"/>
      <c r="Z99" s="121"/>
      <c r="AA99" s="121"/>
      <c r="AB99" s="121"/>
      <c r="AC99" s="121"/>
      <c r="AD99" s="121"/>
      <c r="AE99" s="121"/>
      <c r="AF99" s="121"/>
      <c r="AG99" s="121"/>
      <c r="AH99" s="121"/>
      <c r="AI99" s="121"/>
      <c r="AMD99"/>
      <c r="AME99"/>
      <c r="AMF99"/>
      <c r="AMG99"/>
      <c r="AMH99"/>
      <c r="AMI99"/>
      <c r="AMJ99"/>
    </row>
    <row r="100" spans="1:1024" s="122" customFormat="1">
      <c r="A100" s="133" t="s">
        <v>411</v>
      </c>
      <c r="B100" s="147" t="s">
        <v>816</v>
      </c>
      <c r="C100" s="133" t="s">
        <v>732</v>
      </c>
      <c r="D100" s="133"/>
      <c r="E100" s="133" t="s">
        <v>807</v>
      </c>
      <c r="F100" s="145">
        <v>68.038855499999997</v>
      </c>
      <c r="G100" s="128"/>
      <c r="H100" s="145" t="s">
        <v>717</v>
      </c>
      <c r="I100" s="137">
        <f t="shared" si="3"/>
        <v>20.191581851395203</v>
      </c>
      <c r="J100" s="138">
        <v>0.143982526341418</v>
      </c>
      <c r="K100" s="138"/>
      <c r="L100" s="139" t="s">
        <v>710</v>
      </c>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1"/>
      <c r="AMD100"/>
      <c r="AME100"/>
      <c r="AMF100"/>
      <c r="AMG100"/>
      <c r="AMH100"/>
      <c r="AMI100"/>
      <c r="AMJ100"/>
    </row>
    <row r="101" spans="1:1024" s="122" customFormat="1">
      <c r="A101" s="133" t="s">
        <v>411</v>
      </c>
      <c r="B101" s="147" t="s">
        <v>817</v>
      </c>
      <c r="C101" s="133" t="s">
        <v>732</v>
      </c>
      <c r="D101" s="133"/>
      <c r="E101" s="133" t="s">
        <v>751</v>
      </c>
      <c r="F101" s="145">
        <v>17.236510060000001</v>
      </c>
      <c r="G101" s="128"/>
      <c r="H101" s="145" t="s">
        <v>717</v>
      </c>
      <c r="I101" s="137">
        <f t="shared" si="3"/>
        <v>5.115200735686785</v>
      </c>
      <c r="J101" s="138">
        <v>0.201234607678595</v>
      </c>
      <c r="K101" s="138"/>
      <c r="L101" s="139" t="s">
        <v>710</v>
      </c>
      <c r="M101" s="121"/>
      <c r="N101" s="121"/>
      <c r="O101" s="121"/>
      <c r="P101" s="121"/>
      <c r="Q101" s="121"/>
      <c r="R101" s="121"/>
      <c r="S101" s="121"/>
      <c r="T101" s="121"/>
      <c r="U101" s="121"/>
      <c r="V101" s="121"/>
      <c r="W101" s="121"/>
      <c r="X101" s="121"/>
      <c r="Y101" s="121"/>
      <c r="Z101" s="121"/>
      <c r="AA101" s="121"/>
      <c r="AB101" s="121"/>
      <c r="AC101" s="121"/>
      <c r="AD101" s="121"/>
      <c r="AE101" s="121"/>
      <c r="AF101" s="121"/>
      <c r="AG101" s="121"/>
      <c r="AH101" s="121"/>
      <c r="AI101" s="121"/>
      <c r="AMD101"/>
      <c r="AME101"/>
      <c r="AMF101"/>
      <c r="AMG101"/>
      <c r="AMH101"/>
      <c r="AMI101"/>
      <c r="AMJ101"/>
    </row>
    <row r="102" spans="1:1024" s="122" customFormat="1">
      <c r="A102" s="133" t="s">
        <v>411</v>
      </c>
      <c r="B102" s="147" t="s">
        <v>818</v>
      </c>
      <c r="C102" s="133" t="s">
        <v>732</v>
      </c>
      <c r="D102" s="133"/>
      <c r="E102" s="133" t="s">
        <v>807</v>
      </c>
      <c r="F102" s="145">
        <v>36.287389599999997</v>
      </c>
      <c r="G102" s="128"/>
      <c r="H102" s="145" t="s">
        <v>717</v>
      </c>
      <c r="I102" s="137">
        <f t="shared" si="3"/>
        <v>10.768843654077441</v>
      </c>
      <c r="J102" s="138">
        <v>0.24820617375745799</v>
      </c>
      <c r="K102" s="138"/>
      <c r="L102" s="139" t="s">
        <v>710</v>
      </c>
      <c r="M102" s="121"/>
      <c r="N102" s="121"/>
      <c r="O102" s="121"/>
      <c r="P102" s="121"/>
      <c r="Q102" s="121"/>
      <c r="R102" s="121"/>
      <c r="S102" s="121"/>
      <c r="T102" s="121"/>
      <c r="U102" s="121"/>
      <c r="V102" s="121"/>
      <c r="W102" s="121"/>
      <c r="X102" s="121"/>
      <c r="Y102" s="121"/>
      <c r="Z102" s="121"/>
      <c r="AA102" s="121"/>
      <c r="AB102" s="121"/>
      <c r="AC102" s="121"/>
      <c r="AD102" s="121"/>
      <c r="AE102" s="121"/>
      <c r="AF102" s="121"/>
      <c r="AG102" s="121"/>
      <c r="AH102" s="121"/>
      <c r="AI102" s="121"/>
      <c r="AMD102"/>
      <c r="AME102"/>
      <c r="AMF102"/>
      <c r="AMG102"/>
      <c r="AMH102"/>
      <c r="AMI102"/>
      <c r="AMJ102"/>
    </row>
    <row r="103" spans="1:1024" s="122" customFormat="1">
      <c r="A103" s="133" t="s">
        <v>411</v>
      </c>
      <c r="B103" s="147" t="s">
        <v>819</v>
      </c>
      <c r="C103" s="133" t="s">
        <v>732</v>
      </c>
      <c r="D103" s="133"/>
      <c r="E103" s="133" t="s">
        <v>722</v>
      </c>
      <c r="F103" s="145">
        <v>6.8038855500000004</v>
      </c>
      <c r="G103" s="128"/>
      <c r="H103" s="145" t="s">
        <v>717</v>
      </c>
      <c r="I103" s="137">
        <f t="shared" si="3"/>
        <v>2.0191581851395206</v>
      </c>
      <c r="J103" s="138">
        <v>0.71546798765868802</v>
      </c>
      <c r="K103" s="138"/>
      <c r="L103" s="139" t="s">
        <v>710</v>
      </c>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MD103"/>
      <c r="AME103"/>
      <c r="AMF103"/>
      <c r="AMG103"/>
      <c r="AMH103"/>
      <c r="AMI103"/>
      <c r="AMJ103"/>
    </row>
    <row r="104" spans="1:1024" s="122" customFormat="1">
      <c r="A104" s="133" t="s">
        <v>411</v>
      </c>
      <c r="B104" s="147" t="s">
        <v>820</v>
      </c>
      <c r="C104" s="133" t="s">
        <v>732</v>
      </c>
      <c r="D104" s="133"/>
      <c r="E104" s="133" t="s">
        <v>722</v>
      </c>
      <c r="F104" s="145">
        <v>8.1646626599999994</v>
      </c>
      <c r="G104" s="128"/>
      <c r="H104" s="145" t="s">
        <v>717</v>
      </c>
      <c r="I104" s="137">
        <f t="shared" si="3"/>
        <v>2.4229898221674242</v>
      </c>
      <c r="J104" s="151">
        <v>0.64526500829969102</v>
      </c>
      <c r="K104" s="142"/>
      <c r="L104" s="139" t="s">
        <v>710</v>
      </c>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MD104"/>
      <c r="AME104"/>
      <c r="AMF104"/>
      <c r="AMG104"/>
      <c r="AMH104"/>
      <c r="AMI104"/>
      <c r="AMJ104"/>
    </row>
    <row r="105" spans="1:1024" s="122" customFormat="1">
      <c r="A105" s="133" t="s">
        <v>411</v>
      </c>
      <c r="B105" s="147" t="s">
        <v>821</v>
      </c>
      <c r="C105" s="133" t="s">
        <v>737</v>
      </c>
      <c r="D105" s="133"/>
      <c r="E105" s="133" t="s">
        <v>751</v>
      </c>
      <c r="F105" s="145">
        <v>100</v>
      </c>
      <c r="G105" s="128"/>
      <c r="H105" s="145" t="s">
        <v>717</v>
      </c>
      <c r="I105" s="137">
        <f t="shared" si="3"/>
        <v>29.676545413664702</v>
      </c>
      <c r="J105" s="141">
        <v>0.12</v>
      </c>
      <c r="K105" s="138"/>
      <c r="L105" s="139" t="s">
        <v>710</v>
      </c>
      <c r="M105" s="121"/>
      <c r="N105" s="121"/>
      <c r="O105" s="121"/>
      <c r="P105" s="121"/>
      <c r="Q105" s="121"/>
      <c r="R105" s="121"/>
      <c r="S105" s="121"/>
      <c r="T105" s="121"/>
      <c r="U105" s="121"/>
      <c r="V105" s="121"/>
      <c r="W105" s="121"/>
      <c r="X105" s="121"/>
      <c r="Y105" s="121"/>
      <c r="Z105" s="121"/>
      <c r="AA105" s="121"/>
      <c r="AB105" s="121"/>
      <c r="AC105" s="121"/>
      <c r="AD105" s="121"/>
      <c r="AE105" s="121"/>
      <c r="AF105" s="121"/>
      <c r="AG105" s="121"/>
      <c r="AH105" s="121"/>
      <c r="AI105" s="121"/>
      <c r="AMD105"/>
      <c r="AME105"/>
      <c r="AMF105"/>
      <c r="AMG105"/>
      <c r="AMH105"/>
      <c r="AMI105"/>
      <c r="AMJ105"/>
    </row>
    <row r="106" spans="1:1024" s="122" customFormat="1">
      <c r="A106" s="133" t="s">
        <v>411</v>
      </c>
      <c r="B106" s="147" t="s">
        <v>822</v>
      </c>
      <c r="C106" s="133" t="s">
        <v>737</v>
      </c>
      <c r="D106" s="133"/>
      <c r="E106" s="133" t="s">
        <v>807</v>
      </c>
      <c r="F106" s="145">
        <v>100</v>
      </c>
      <c r="G106" s="128"/>
      <c r="H106" s="145" t="s">
        <v>717</v>
      </c>
      <c r="I106" s="137">
        <f t="shared" si="3"/>
        <v>29.676545413664702</v>
      </c>
      <c r="J106" s="138">
        <v>0.15</v>
      </c>
      <c r="K106" s="138"/>
      <c r="L106" s="139" t="s">
        <v>710</v>
      </c>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MD106"/>
      <c r="AME106"/>
      <c r="AMF106"/>
      <c r="AMG106"/>
      <c r="AMH106"/>
      <c r="AMI106"/>
      <c r="AMJ106"/>
    </row>
    <row r="107" spans="1:1024" s="122" customFormat="1">
      <c r="A107" s="133" t="s">
        <v>411</v>
      </c>
      <c r="B107" s="147" t="s">
        <v>823</v>
      </c>
      <c r="C107" s="133" t="s">
        <v>715</v>
      </c>
      <c r="D107" s="133"/>
      <c r="E107" s="133" t="s">
        <v>807</v>
      </c>
      <c r="F107" s="145">
        <v>1329</v>
      </c>
      <c r="G107" s="128"/>
      <c r="H107" s="145" t="s">
        <v>717</v>
      </c>
      <c r="I107" s="137">
        <f t="shared" si="3"/>
        <v>394.40128854760388</v>
      </c>
      <c r="J107" s="138">
        <v>19.925095977801099</v>
      </c>
      <c r="K107" s="138">
        <v>4.86704412710277</v>
      </c>
      <c r="L107" s="139" t="s">
        <v>710</v>
      </c>
      <c r="M107" s="121"/>
      <c r="N107" s="121"/>
      <c r="O107" s="121"/>
      <c r="P107" s="121"/>
      <c r="Q107" s="121"/>
      <c r="R107" s="121"/>
      <c r="S107" s="121"/>
      <c r="T107" s="121"/>
      <c r="U107" s="121"/>
      <c r="V107" s="121"/>
      <c r="W107" s="121"/>
      <c r="X107" s="121"/>
      <c r="Y107" s="121"/>
      <c r="Z107" s="121"/>
      <c r="AA107" s="121"/>
      <c r="AB107" s="121"/>
      <c r="AC107" s="121"/>
      <c r="AD107" s="121"/>
      <c r="AE107" s="121"/>
      <c r="AF107" s="121"/>
      <c r="AG107" s="121"/>
      <c r="AH107" s="121"/>
      <c r="AI107" s="121"/>
      <c r="AMD107"/>
      <c r="AME107"/>
      <c r="AMF107"/>
      <c r="AMG107"/>
      <c r="AMH107"/>
      <c r="AMI107"/>
      <c r="AMJ107"/>
    </row>
    <row r="108" spans="1:1024" s="122" customFormat="1">
      <c r="A108" s="133" t="s">
        <v>411</v>
      </c>
      <c r="B108" s="147" t="s">
        <v>824</v>
      </c>
      <c r="C108" s="133" t="s">
        <v>715</v>
      </c>
      <c r="D108" s="133"/>
      <c r="E108" s="133" t="s">
        <v>751</v>
      </c>
      <c r="F108" s="145">
        <v>599</v>
      </c>
      <c r="G108" s="128"/>
      <c r="H108" s="145" t="s">
        <v>717</v>
      </c>
      <c r="I108" s="137">
        <f t="shared" si="3"/>
        <v>177.76250702785157</v>
      </c>
      <c r="J108" s="138">
        <v>8.3148673464111091</v>
      </c>
      <c r="K108" s="138">
        <v>4.86704412710277</v>
      </c>
      <c r="L108" s="139" t="s">
        <v>710</v>
      </c>
      <c r="M108" s="121"/>
      <c r="N108" s="121"/>
      <c r="O108" s="121"/>
      <c r="P108" s="121"/>
      <c r="Q108" s="121"/>
      <c r="R108" s="121"/>
      <c r="S108" s="121"/>
      <c r="T108" s="121"/>
      <c r="U108" s="121"/>
      <c r="V108" s="121"/>
      <c r="W108" s="121"/>
      <c r="X108" s="121"/>
      <c r="Y108" s="121"/>
      <c r="Z108" s="121"/>
      <c r="AA108" s="121"/>
      <c r="AB108" s="121"/>
      <c r="AC108" s="121"/>
      <c r="AD108" s="121"/>
      <c r="AE108" s="121"/>
      <c r="AF108" s="121"/>
      <c r="AG108" s="121"/>
      <c r="AH108" s="121"/>
      <c r="AI108" s="121"/>
      <c r="AMD108"/>
      <c r="AME108"/>
      <c r="AMF108"/>
      <c r="AMG108"/>
      <c r="AMH108"/>
      <c r="AMI108"/>
      <c r="AMJ108"/>
    </row>
    <row r="109" spans="1:1024" s="122" customFormat="1">
      <c r="A109" s="133" t="s">
        <v>411</v>
      </c>
      <c r="B109" s="147" t="s">
        <v>825</v>
      </c>
      <c r="C109" s="133" t="s">
        <v>715</v>
      </c>
      <c r="D109" s="133"/>
      <c r="E109" s="133" t="s">
        <v>807</v>
      </c>
      <c r="F109" s="145">
        <v>640</v>
      </c>
      <c r="G109" s="128"/>
      <c r="H109" s="145" t="s">
        <v>717</v>
      </c>
      <c r="I109" s="137">
        <f t="shared" si="3"/>
        <v>189.9298906474541</v>
      </c>
      <c r="J109" s="138">
        <v>26.230765043959899</v>
      </c>
      <c r="K109" s="138">
        <v>6.65445626180197</v>
      </c>
      <c r="L109" s="139" t="s">
        <v>710</v>
      </c>
      <c r="M109" s="121"/>
      <c r="N109" s="121"/>
      <c r="O109" s="121"/>
      <c r="P109" s="121"/>
      <c r="Q109" s="121"/>
      <c r="R109" s="121"/>
      <c r="S109" s="121"/>
      <c r="T109" s="121"/>
      <c r="U109" s="121"/>
      <c r="V109" s="121"/>
      <c r="W109" s="121"/>
      <c r="X109" s="121"/>
      <c r="Y109" s="121"/>
      <c r="Z109" s="121"/>
      <c r="AA109" s="121"/>
      <c r="AB109" s="121"/>
      <c r="AC109" s="121"/>
      <c r="AD109" s="121"/>
      <c r="AE109" s="121"/>
      <c r="AF109" s="121"/>
      <c r="AG109" s="121"/>
      <c r="AH109" s="121"/>
      <c r="AI109" s="121"/>
      <c r="AMD109"/>
      <c r="AME109"/>
      <c r="AMF109"/>
      <c r="AMG109"/>
      <c r="AMH109"/>
      <c r="AMI109"/>
      <c r="AMJ109"/>
    </row>
    <row r="110" spans="1:1024" s="122" customFormat="1">
      <c r="A110" s="133" t="s">
        <v>411</v>
      </c>
      <c r="B110" s="147" t="s">
        <v>826</v>
      </c>
      <c r="C110" s="133" t="s">
        <v>715</v>
      </c>
      <c r="D110" s="133"/>
      <c r="E110" s="133" t="s">
        <v>807</v>
      </c>
      <c r="F110" s="145">
        <v>640</v>
      </c>
      <c r="G110" s="128"/>
      <c r="H110" s="145" t="s">
        <v>717</v>
      </c>
      <c r="I110" s="137">
        <f t="shared" si="3"/>
        <v>189.9298906474541</v>
      </c>
      <c r="J110" s="138">
        <v>11.596503975328901</v>
      </c>
      <c r="K110" s="138">
        <v>4.86704412710277</v>
      </c>
      <c r="L110" s="139" t="s">
        <v>710</v>
      </c>
      <c r="M110" s="121"/>
      <c r="N110" s="121"/>
      <c r="O110" s="121"/>
      <c r="P110" s="121"/>
      <c r="Q110" s="121"/>
      <c r="R110" s="121"/>
      <c r="S110" s="121"/>
      <c r="T110" s="121"/>
      <c r="U110" s="121"/>
      <c r="V110" s="121"/>
      <c r="W110" s="121"/>
      <c r="X110" s="121"/>
      <c r="Y110" s="121"/>
      <c r="Z110" s="121"/>
      <c r="AA110" s="121"/>
      <c r="AB110" s="121"/>
      <c r="AC110" s="121"/>
      <c r="AD110" s="121"/>
      <c r="AE110" s="121"/>
      <c r="AF110" s="121"/>
      <c r="AG110" s="121"/>
      <c r="AH110" s="121"/>
      <c r="AI110" s="121"/>
      <c r="AMD110"/>
      <c r="AME110"/>
      <c r="AMF110"/>
      <c r="AMG110"/>
      <c r="AMH110"/>
      <c r="AMI110"/>
      <c r="AMJ110"/>
    </row>
    <row r="111" spans="1:1024" s="122" customFormat="1">
      <c r="A111" s="133" t="s">
        <v>411</v>
      </c>
      <c r="B111" s="147" t="s">
        <v>827</v>
      </c>
      <c r="C111" s="133" t="s">
        <v>715</v>
      </c>
      <c r="D111" s="133"/>
      <c r="E111" s="133"/>
      <c r="F111" s="145">
        <v>90</v>
      </c>
      <c r="G111" s="128"/>
      <c r="H111" s="145" t="s">
        <v>717</v>
      </c>
      <c r="I111" s="137">
        <f t="shared" si="3"/>
        <v>26.70889087229823</v>
      </c>
      <c r="J111" s="138">
        <v>177.19</v>
      </c>
      <c r="K111" s="138">
        <v>49.02</v>
      </c>
      <c r="L111" s="139" t="s">
        <v>710</v>
      </c>
      <c r="M111" s="121"/>
      <c r="N111" s="121"/>
      <c r="O111" s="121"/>
      <c r="P111" s="121"/>
      <c r="Q111" s="121"/>
      <c r="R111" s="121"/>
      <c r="S111" s="121"/>
      <c r="T111" s="121"/>
      <c r="U111" s="121"/>
      <c r="V111" s="121"/>
      <c r="W111" s="121"/>
      <c r="X111" s="121"/>
      <c r="Y111" s="121"/>
      <c r="Z111" s="121"/>
      <c r="AA111" s="121"/>
      <c r="AB111" s="121"/>
      <c r="AC111" s="121"/>
      <c r="AD111" s="121"/>
      <c r="AE111" s="121"/>
      <c r="AF111" s="121"/>
      <c r="AG111" s="121"/>
      <c r="AH111" s="121"/>
      <c r="AI111" s="121"/>
      <c r="AMD111"/>
      <c r="AME111"/>
      <c r="AMF111"/>
      <c r="AMG111"/>
      <c r="AMH111"/>
      <c r="AMI111"/>
      <c r="AMJ111"/>
    </row>
    <row r="112" spans="1:1024" s="122" customFormat="1">
      <c r="A112" s="133" t="s">
        <v>411</v>
      </c>
      <c r="B112" s="147" t="s">
        <v>828</v>
      </c>
      <c r="C112" s="133" t="s">
        <v>708</v>
      </c>
      <c r="D112" s="133" t="s">
        <v>799</v>
      </c>
      <c r="E112" s="133"/>
      <c r="F112" s="145">
        <v>42.621015241599999</v>
      </c>
      <c r="G112" s="128"/>
      <c r="H112" s="145" t="s">
        <v>717</v>
      </c>
      <c r="I112" s="137">
        <f t="shared" si="3"/>
        <v>12.648444943938378</v>
      </c>
      <c r="J112" s="150">
        <v>2.8900375939849599</v>
      </c>
      <c r="K112" s="143">
        <v>5.0783082990244601</v>
      </c>
      <c r="L112" s="139" t="s">
        <v>710</v>
      </c>
      <c r="M112" s="121"/>
      <c r="N112" s="121"/>
      <c r="O112" s="121"/>
      <c r="P112" s="121"/>
      <c r="Q112" s="121"/>
      <c r="R112" s="121"/>
      <c r="S112" s="121"/>
      <c r="T112" s="121"/>
      <c r="U112" s="121"/>
      <c r="V112" s="121"/>
      <c r="W112" s="121"/>
      <c r="X112" s="121"/>
      <c r="Y112" s="121"/>
      <c r="Z112" s="121"/>
      <c r="AA112" s="121"/>
      <c r="AB112" s="121"/>
      <c r="AC112" s="121"/>
      <c r="AD112" s="121"/>
      <c r="AE112" s="121"/>
      <c r="AF112" s="121"/>
      <c r="AG112" s="121"/>
      <c r="AH112" s="121"/>
      <c r="AI112" s="121"/>
      <c r="AMD112"/>
      <c r="AME112"/>
      <c r="AMF112"/>
      <c r="AMG112"/>
      <c r="AMH112"/>
      <c r="AMI112"/>
      <c r="AMJ112"/>
    </row>
    <row r="113" spans="1:1024" s="122" customFormat="1">
      <c r="A113" s="133" t="s">
        <v>411</v>
      </c>
      <c r="B113" s="147" t="s">
        <v>829</v>
      </c>
      <c r="C113" s="133" t="s">
        <v>708</v>
      </c>
      <c r="D113" s="133" t="s">
        <v>799</v>
      </c>
      <c r="E113" s="133"/>
      <c r="F113" s="145">
        <v>42.591251962800001</v>
      </c>
      <c r="G113" s="128"/>
      <c r="H113" s="145" t="s">
        <v>717</v>
      </c>
      <c r="I113" s="137">
        <f t="shared" si="3"/>
        <v>12.639612230988702</v>
      </c>
      <c r="J113" s="150">
        <v>2.88869422189644</v>
      </c>
      <c r="K113" s="143">
        <v>3.0186868065865999</v>
      </c>
      <c r="L113" s="139" t="s">
        <v>710</v>
      </c>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1"/>
      <c r="AMD113"/>
      <c r="AME113"/>
      <c r="AMF113"/>
      <c r="AMG113"/>
      <c r="AMH113"/>
      <c r="AMI113"/>
      <c r="AMJ113"/>
    </row>
    <row r="114" spans="1:1024" s="122" customFormat="1">
      <c r="A114" s="133" t="s">
        <v>411</v>
      </c>
      <c r="B114" s="147" t="s">
        <v>830</v>
      </c>
      <c r="C114" s="133" t="s">
        <v>708</v>
      </c>
      <c r="D114" s="133">
        <v>40</v>
      </c>
      <c r="E114" s="133"/>
      <c r="F114" s="145">
        <v>28.304878138799999</v>
      </c>
      <c r="G114" s="128"/>
      <c r="H114" s="145" t="s">
        <v>717</v>
      </c>
      <c r="I114" s="137">
        <f t="shared" si="3"/>
        <v>8.3999100151434334</v>
      </c>
      <c r="J114" s="150">
        <v>2.8975265017667802</v>
      </c>
      <c r="K114" s="143">
        <v>3.2682980260686101</v>
      </c>
      <c r="L114" s="139" t="s">
        <v>710</v>
      </c>
      <c r="M114" s="121"/>
      <c r="N114" s="121"/>
      <c r="O114" s="121"/>
      <c r="P114" s="121"/>
      <c r="Q114" s="121"/>
      <c r="R114" s="121"/>
      <c r="S114" s="121"/>
      <c r="T114" s="121"/>
      <c r="U114" s="121"/>
      <c r="V114" s="121"/>
      <c r="W114" s="121"/>
      <c r="X114" s="121"/>
      <c r="Y114" s="121"/>
      <c r="Z114" s="121"/>
      <c r="AA114" s="121"/>
      <c r="AB114" s="121"/>
      <c r="AC114" s="121"/>
      <c r="AD114" s="121"/>
      <c r="AE114" s="121"/>
      <c r="AF114" s="121"/>
      <c r="AG114" s="121"/>
      <c r="AH114" s="121"/>
      <c r="AI114" s="121"/>
      <c r="AMD114"/>
      <c r="AME114"/>
      <c r="AMF114"/>
      <c r="AMG114"/>
      <c r="AMH114"/>
      <c r="AMI114"/>
      <c r="AMJ114"/>
    </row>
    <row r="115" spans="1:1024" s="122" customFormat="1">
      <c r="A115" s="133" t="s">
        <v>411</v>
      </c>
      <c r="B115" s="147" t="s">
        <v>831</v>
      </c>
      <c r="C115" s="133" t="s">
        <v>715</v>
      </c>
      <c r="D115" s="133" t="s">
        <v>799</v>
      </c>
      <c r="E115" s="133"/>
      <c r="F115" s="145">
        <v>45.812829370000003</v>
      </c>
      <c r="G115" s="128"/>
      <c r="H115" s="145" t="s">
        <v>717</v>
      </c>
      <c r="I115" s="137">
        <f t="shared" si="3"/>
        <v>13.595665113272771</v>
      </c>
      <c r="J115" s="150">
        <v>46.0569676445635</v>
      </c>
      <c r="K115" s="143">
        <v>22.930953803854798</v>
      </c>
      <c r="L115" s="139" t="s">
        <v>710</v>
      </c>
      <c r="M115" s="121"/>
      <c r="N115" s="121"/>
      <c r="O115" s="121"/>
      <c r="P115" s="121"/>
      <c r="Q115" s="121"/>
      <c r="R115" s="121"/>
      <c r="S115" s="121"/>
      <c r="T115" s="121"/>
      <c r="U115" s="121"/>
      <c r="V115" s="121"/>
      <c r="W115" s="121"/>
      <c r="X115" s="121"/>
      <c r="Y115" s="121"/>
      <c r="Z115" s="121"/>
      <c r="AA115" s="121"/>
      <c r="AB115" s="121"/>
      <c r="AC115" s="121"/>
      <c r="AD115" s="121"/>
      <c r="AE115" s="121"/>
      <c r="AF115" s="121"/>
      <c r="AG115" s="121"/>
      <c r="AH115" s="121"/>
      <c r="AI115" s="121"/>
      <c r="AMD115"/>
      <c r="AME115"/>
      <c r="AMF115"/>
      <c r="AMG115"/>
      <c r="AMH115"/>
      <c r="AMI115"/>
      <c r="AMJ115"/>
    </row>
    <row r="116" spans="1:1024" s="122" customFormat="1">
      <c r="A116" s="133" t="s">
        <v>411</v>
      </c>
      <c r="B116" s="147" t="s">
        <v>832</v>
      </c>
      <c r="C116" s="133" t="s">
        <v>715</v>
      </c>
      <c r="D116" s="133" t="s">
        <v>799</v>
      </c>
      <c r="E116" s="133"/>
      <c r="F116" s="145">
        <v>10.43262451</v>
      </c>
      <c r="G116" s="128"/>
      <c r="H116" s="145" t="s">
        <v>717</v>
      </c>
      <c r="I116" s="137">
        <f t="shared" ref="I116:I147" si="4">IF(A116="Equipos Rotativos",F116,F116*fac_piping)</f>
        <v>3.0960425505472644</v>
      </c>
      <c r="J116" s="150">
        <v>85.213456992328801</v>
      </c>
      <c r="K116" s="143">
        <v>24.817044173710201</v>
      </c>
      <c r="L116" s="139" t="s">
        <v>710</v>
      </c>
      <c r="M116" s="121"/>
      <c r="N116" s="121"/>
      <c r="O116" s="121"/>
      <c r="P116" s="121"/>
      <c r="Q116" s="121"/>
      <c r="R116" s="121"/>
      <c r="S116" s="121"/>
      <c r="T116" s="121"/>
      <c r="U116" s="121"/>
      <c r="V116" s="121"/>
      <c r="W116" s="121"/>
      <c r="X116" s="121"/>
      <c r="Y116" s="121"/>
      <c r="Z116" s="121"/>
      <c r="AA116" s="121"/>
      <c r="AB116" s="121"/>
      <c r="AC116" s="121"/>
      <c r="AD116" s="121"/>
      <c r="AE116" s="121"/>
      <c r="AF116" s="121"/>
      <c r="AG116" s="121"/>
      <c r="AH116" s="121"/>
      <c r="AI116" s="121"/>
      <c r="AMD116"/>
      <c r="AME116"/>
      <c r="AMF116"/>
      <c r="AMG116"/>
      <c r="AMH116"/>
      <c r="AMI116"/>
      <c r="AMJ116"/>
    </row>
    <row r="117" spans="1:1024" s="122" customFormat="1">
      <c r="A117" s="133" t="s">
        <v>411</v>
      </c>
      <c r="B117" s="147" t="s">
        <v>833</v>
      </c>
      <c r="C117" s="133" t="s">
        <v>715</v>
      </c>
      <c r="D117" s="133" t="s">
        <v>716</v>
      </c>
      <c r="E117" s="133"/>
      <c r="F117" s="145">
        <v>6.8038855500000004</v>
      </c>
      <c r="G117" s="128"/>
      <c r="H117" s="145" t="s">
        <v>717</v>
      </c>
      <c r="I117" s="137">
        <f t="shared" si="4"/>
        <v>2.0191581851395206</v>
      </c>
      <c r="J117" s="150">
        <v>105.674911007285</v>
      </c>
      <c r="K117" s="143">
        <v>25.0376335836186</v>
      </c>
      <c r="L117" s="139" t="s">
        <v>710</v>
      </c>
      <c r="M117" s="121"/>
      <c r="N117" s="121"/>
      <c r="O117" s="121"/>
      <c r="P117" s="121"/>
      <c r="Q117" s="121"/>
      <c r="R117" s="121"/>
      <c r="S117" s="121"/>
      <c r="T117" s="121"/>
      <c r="U117" s="121"/>
      <c r="V117" s="121"/>
      <c r="W117" s="121"/>
      <c r="X117" s="121"/>
      <c r="Y117" s="121"/>
      <c r="Z117" s="121"/>
      <c r="AA117" s="121"/>
      <c r="AB117" s="121"/>
      <c r="AC117" s="121"/>
      <c r="AD117" s="121"/>
      <c r="AE117" s="121"/>
      <c r="AF117" s="121"/>
      <c r="AG117" s="121"/>
      <c r="AH117" s="121"/>
      <c r="AI117" s="121"/>
      <c r="AMD117"/>
      <c r="AME117"/>
      <c r="AMF117"/>
      <c r="AMG117"/>
      <c r="AMH117"/>
      <c r="AMI117"/>
      <c r="AMJ117"/>
    </row>
    <row r="118" spans="1:1024" s="122" customFormat="1">
      <c r="A118" s="133" t="s">
        <v>411</v>
      </c>
      <c r="B118" s="147" t="s">
        <v>834</v>
      </c>
      <c r="C118" s="133" t="s">
        <v>715</v>
      </c>
      <c r="D118" s="133">
        <v>0</v>
      </c>
      <c r="E118" s="133" t="s">
        <v>807</v>
      </c>
      <c r="F118" s="145">
        <v>49.895160699999998</v>
      </c>
      <c r="G118" s="128"/>
      <c r="H118" s="145" t="s">
        <v>717</v>
      </c>
      <c r="I118" s="137">
        <f t="shared" si="4"/>
        <v>14.807160024356483</v>
      </c>
      <c r="J118" s="151">
        <v>18.1580735944999</v>
      </c>
      <c r="K118" s="138">
        <v>7.3789480598301198</v>
      </c>
      <c r="L118" s="139" t="s">
        <v>710</v>
      </c>
      <c r="M118" s="121"/>
      <c r="N118" s="121"/>
      <c r="O118" s="121"/>
      <c r="P118" s="121"/>
      <c r="Q118" s="121"/>
      <c r="R118" s="121"/>
      <c r="S118" s="121"/>
      <c r="T118" s="121"/>
      <c r="U118" s="121"/>
      <c r="V118" s="121"/>
      <c r="W118" s="121"/>
      <c r="X118" s="121"/>
      <c r="Y118" s="121"/>
      <c r="Z118" s="121"/>
      <c r="AA118" s="121"/>
      <c r="AB118" s="121"/>
      <c r="AC118" s="121"/>
      <c r="AD118" s="121"/>
      <c r="AE118" s="121"/>
      <c r="AF118" s="121"/>
      <c r="AG118" s="121"/>
      <c r="AH118" s="121"/>
      <c r="AI118" s="121"/>
      <c r="AMD118"/>
      <c r="AME118"/>
      <c r="AMF118"/>
      <c r="AMG118"/>
      <c r="AMH118"/>
      <c r="AMI118"/>
      <c r="AMJ118"/>
    </row>
    <row r="119" spans="1:1024" s="122" customFormat="1">
      <c r="A119" s="133" t="s">
        <v>411</v>
      </c>
      <c r="B119" s="147" t="s">
        <v>835</v>
      </c>
      <c r="C119" s="133" t="s">
        <v>715</v>
      </c>
      <c r="D119" s="133">
        <v>0</v>
      </c>
      <c r="E119" s="133" t="s">
        <v>722</v>
      </c>
      <c r="F119" s="145">
        <v>18.143694799999999</v>
      </c>
      <c r="G119" s="128"/>
      <c r="H119" s="145" t="s">
        <v>717</v>
      </c>
      <c r="I119" s="137">
        <f t="shared" si="4"/>
        <v>5.3844218270387207</v>
      </c>
      <c r="J119" s="151">
        <v>33.675610548740003</v>
      </c>
      <c r="K119" s="138">
        <v>11.745536729101399</v>
      </c>
      <c r="L119" s="139" t="s">
        <v>710</v>
      </c>
      <c r="M119" s="121"/>
      <c r="N119" s="121"/>
      <c r="O119" s="121"/>
      <c r="P119" s="121"/>
      <c r="Q119" s="121"/>
      <c r="R119" s="121"/>
      <c r="S119" s="121"/>
      <c r="T119" s="121"/>
      <c r="U119" s="121"/>
      <c r="V119" s="121"/>
      <c r="W119" s="121"/>
      <c r="X119" s="121"/>
      <c r="Y119" s="121"/>
      <c r="Z119" s="121"/>
      <c r="AA119" s="121"/>
      <c r="AB119" s="121"/>
      <c r="AC119" s="121"/>
      <c r="AD119" s="121"/>
      <c r="AE119" s="121"/>
      <c r="AF119" s="121"/>
      <c r="AG119" s="121"/>
      <c r="AH119" s="121"/>
      <c r="AI119" s="121"/>
      <c r="AMD119"/>
      <c r="AME119"/>
      <c r="AMF119"/>
      <c r="AMG119"/>
      <c r="AMH119"/>
      <c r="AMI119"/>
      <c r="AMJ119"/>
    </row>
    <row r="120" spans="1:1024" s="122" customFormat="1">
      <c r="A120" s="133" t="s">
        <v>411</v>
      </c>
      <c r="B120" s="147" t="s">
        <v>836</v>
      </c>
      <c r="C120" s="133" t="s">
        <v>715</v>
      </c>
      <c r="D120" s="133" t="s">
        <v>799</v>
      </c>
      <c r="E120" s="133"/>
      <c r="F120" s="145">
        <v>74.842741050000001</v>
      </c>
      <c r="G120" s="128"/>
      <c r="H120" s="145" t="s">
        <v>717</v>
      </c>
      <c r="I120" s="137">
        <f t="shared" si="4"/>
        <v>22.210740036534723</v>
      </c>
      <c r="J120" s="150">
        <v>13.9893326368222</v>
      </c>
      <c r="K120" s="143">
        <v>10.134749337368</v>
      </c>
      <c r="L120" s="139" t="s">
        <v>710</v>
      </c>
      <c r="M120" s="121"/>
      <c r="N120" s="121"/>
      <c r="O120" s="121"/>
      <c r="P120" s="121"/>
      <c r="Q120" s="121"/>
      <c r="R120" s="121"/>
      <c r="S120" s="121"/>
      <c r="T120" s="121"/>
      <c r="U120" s="121"/>
      <c r="V120" s="121"/>
      <c r="W120" s="121"/>
      <c r="X120" s="121"/>
      <c r="Y120" s="121"/>
      <c r="Z120" s="121"/>
      <c r="AA120" s="121"/>
      <c r="AB120" s="121"/>
      <c r="AC120" s="121"/>
      <c r="AD120" s="121"/>
      <c r="AE120" s="121"/>
      <c r="AF120" s="121"/>
      <c r="AG120" s="121"/>
      <c r="AH120" s="121"/>
      <c r="AI120" s="121"/>
      <c r="AMD120"/>
      <c r="AME120"/>
      <c r="AMF120"/>
      <c r="AMG120"/>
      <c r="AMH120"/>
      <c r="AMI120"/>
      <c r="AMJ120"/>
    </row>
    <row r="121" spans="1:1024" s="122" customFormat="1">
      <c r="A121" s="133" t="s">
        <v>411</v>
      </c>
      <c r="B121" s="147" t="s">
        <v>837</v>
      </c>
      <c r="C121" s="133" t="s">
        <v>732</v>
      </c>
      <c r="D121" s="133">
        <v>0</v>
      </c>
      <c r="E121" s="133" t="s">
        <v>807</v>
      </c>
      <c r="F121" s="145">
        <v>22.6796185</v>
      </c>
      <c r="G121" s="128"/>
      <c r="H121" s="145" t="s">
        <v>717</v>
      </c>
      <c r="I121" s="137">
        <f t="shared" si="4"/>
        <v>6.7305272837984012</v>
      </c>
      <c r="J121" s="151">
        <v>0.46436715130320499</v>
      </c>
      <c r="K121" s="142"/>
      <c r="L121" s="139" t="s">
        <v>710</v>
      </c>
      <c r="M121" s="121"/>
      <c r="N121" s="121"/>
      <c r="O121" s="121"/>
      <c r="P121" s="121"/>
      <c r="Q121" s="121"/>
      <c r="R121" s="121"/>
      <c r="S121" s="121"/>
      <c r="T121" s="121"/>
      <c r="U121" s="121"/>
      <c r="V121" s="121"/>
      <c r="W121" s="121"/>
      <c r="X121" s="121"/>
      <c r="Y121" s="121"/>
      <c r="Z121" s="121"/>
      <c r="AA121" s="121"/>
      <c r="AB121" s="121"/>
      <c r="AC121" s="121"/>
      <c r="AD121" s="121"/>
      <c r="AE121" s="121"/>
      <c r="AF121" s="121"/>
      <c r="AG121" s="121"/>
      <c r="AH121" s="121"/>
      <c r="AI121" s="121"/>
      <c r="AMD121"/>
      <c r="AME121"/>
      <c r="AMF121"/>
      <c r="AMG121"/>
      <c r="AMH121"/>
      <c r="AMI121"/>
      <c r="AMJ121"/>
    </row>
    <row r="122" spans="1:1024" s="122" customFormat="1">
      <c r="A122" s="133" t="s">
        <v>411</v>
      </c>
      <c r="B122" s="147" t="s">
        <v>838</v>
      </c>
      <c r="C122" s="133" t="s">
        <v>732</v>
      </c>
      <c r="D122" s="133">
        <v>0</v>
      </c>
      <c r="E122" s="133" t="s">
        <v>751</v>
      </c>
      <c r="F122" s="145">
        <v>5.2163122550000001</v>
      </c>
      <c r="G122" s="128"/>
      <c r="H122" s="145" t="s">
        <v>717</v>
      </c>
      <c r="I122" s="137">
        <f t="shared" si="4"/>
        <v>1.5480212752736322</v>
      </c>
      <c r="J122" s="138">
        <v>0.67745018824688497</v>
      </c>
      <c r="K122" s="138"/>
      <c r="L122" s="139" t="s">
        <v>710</v>
      </c>
      <c r="M122" s="121"/>
      <c r="N122" s="121"/>
      <c r="O122" s="121"/>
      <c r="P122" s="121"/>
      <c r="Q122" s="121"/>
      <c r="R122" s="121"/>
      <c r="S122" s="121"/>
      <c r="T122" s="121"/>
      <c r="U122" s="121"/>
      <c r="V122" s="121"/>
      <c r="W122" s="121"/>
      <c r="X122" s="121"/>
      <c r="Y122" s="121"/>
      <c r="Z122" s="121"/>
      <c r="AA122" s="121"/>
      <c r="AB122" s="121"/>
      <c r="AC122" s="121"/>
      <c r="AD122" s="121"/>
      <c r="AE122" s="121"/>
      <c r="AF122" s="121"/>
      <c r="AG122" s="121"/>
      <c r="AH122" s="121"/>
      <c r="AI122" s="121"/>
      <c r="AMD122"/>
      <c r="AME122"/>
      <c r="AMF122"/>
      <c r="AMG122"/>
      <c r="AMH122"/>
      <c r="AMI122"/>
      <c r="AMJ122"/>
    </row>
    <row r="123" spans="1:1024" s="122" customFormat="1">
      <c r="A123" s="133" t="s">
        <v>411</v>
      </c>
      <c r="B123" s="147" t="s">
        <v>839</v>
      </c>
      <c r="C123" s="133" t="s">
        <v>732</v>
      </c>
      <c r="D123" s="133">
        <v>0</v>
      </c>
      <c r="E123" s="133" t="s">
        <v>722</v>
      </c>
      <c r="F123" s="145">
        <v>0.68</v>
      </c>
      <c r="G123" s="128"/>
      <c r="H123" s="145" t="s">
        <v>717</v>
      </c>
      <c r="I123" s="137">
        <f t="shared" si="4"/>
        <v>0.20180050881291997</v>
      </c>
      <c r="J123" s="151">
        <v>1.8486065825738101</v>
      </c>
      <c r="K123" s="142"/>
      <c r="L123" s="139" t="s">
        <v>710</v>
      </c>
      <c r="M123" s="121"/>
      <c r="N123" s="121"/>
      <c r="O123" s="121"/>
      <c r="P123" s="121"/>
      <c r="Q123" s="121"/>
      <c r="R123" s="121"/>
      <c r="S123" s="121"/>
      <c r="T123" s="121"/>
      <c r="U123" s="121"/>
      <c r="V123" s="121"/>
      <c r="W123" s="121"/>
      <c r="X123" s="121"/>
      <c r="Y123" s="121"/>
      <c r="Z123" s="121"/>
      <c r="AA123" s="121"/>
      <c r="AB123" s="121"/>
      <c r="AC123" s="121"/>
      <c r="AD123" s="121"/>
      <c r="AE123" s="121"/>
      <c r="AF123" s="121"/>
      <c r="AG123" s="121"/>
      <c r="AH123" s="121"/>
      <c r="AI123" s="121"/>
      <c r="AMD123"/>
      <c r="AME123"/>
      <c r="AMF123"/>
      <c r="AMG123"/>
      <c r="AMH123"/>
      <c r="AMI123"/>
      <c r="AMJ123"/>
    </row>
    <row r="124" spans="1:1024" s="122" customFormat="1">
      <c r="A124" s="133" t="s">
        <v>411</v>
      </c>
      <c r="B124" s="147" t="s">
        <v>840</v>
      </c>
      <c r="C124" s="133" t="s">
        <v>732</v>
      </c>
      <c r="D124" s="133">
        <v>0</v>
      </c>
      <c r="E124" s="133" t="s">
        <v>807</v>
      </c>
      <c r="F124" s="145">
        <v>11.33980925</v>
      </c>
      <c r="G124" s="128"/>
      <c r="H124" s="145" t="s">
        <v>717</v>
      </c>
      <c r="I124" s="137">
        <f t="shared" si="4"/>
        <v>3.3652636418992006</v>
      </c>
      <c r="J124" s="151">
        <v>0.46436715130320499</v>
      </c>
      <c r="K124" s="142"/>
      <c r="L124" s="139" t="s">
        <v>710</v>
      </c>
      <c r="M124" s="121"/>
      <c r="N124" s="121"/>
      <c r="O124" s="121"/>
      <c r="P124" s="121"/>
      <c r="Q124" s="121"/>
      <c r="R124" s="121"/>
      <c r="S124" s="121"/>
      <c r="T124" s="121"/>
      <c r="U124" s="121"/>
      <c r="V124" s="121"/>
      <c r="W124" s="121"/>
      <c r="X124" s="121"/>
      <c r="Y124" s="121"/>
      <c r="Z124" s="121"/>
      <c r="AA124" s="121"/>
      <c r="AB124" s="121"/>
      <c r="AC124" s="121"/>
      <c r="AD124" s="121"/>
      <c r="AE124" s="121"/>
      <c r="AF124" s="121"/>
      <c r="AG124" s="121"/>
      <c r="AH124" s="121"/>
      <c r="AI124" s="121"/>
      <c r="AMD124"/>
      <c r="AME124"/>
      <c r="AMF124"/>
      <c r="AMG124"/>
      <c r="AMH124"/>
      <c r="AMI124"/>
      <c r="AMJ124"/>
    </row>
    <row r="125" spans="1:1024" s="122" customFormat="1">
      <c r="A125" s="133" t="s">
        <v>411</v>
      </c>
      <c r="B125" s="147" t="s">
        <v>841</v>
      </c>
      <c r="C125" s="133" t="s">
        <v>732</v>
      </c>
      <c r="D125" s="133">
        <v>0</v>
      </c>
      <c r="E125" s="133" t="s">
        <v>807</v>
      </c>
      <c r="F125" s="145">
        <v>4.5359236999999997</v>
      </c>
      <c r="G125" s="128"/>
      <c r="H125" s="145" t="s">
        <v>717</v>
      </c>
      <c r="I125" s="137">
        <f t="shared" si="4"/>
        <v>1.3461054567596802</v>
      </c>
      <c r="J125" s="150">
        <v>0.49518809459954999</v>
      </c>
      <c r="K125" s="142"/>
      <c r="L125" s="139" t="s">
        <v>710</v>
      </c>
      <c r="M125" s="121"/>
      <c r="N125" s="121"/>
      <c r="O125" s="121"/>
      <c r="P125" s="121"/>
      <c r="Q125" s="121"/>
      <c r="R125" s="121"/>
      <c r="S125" s="121"/>
      <c r="T125" s="121"/>
      <c r="U125" s="121"/>
      <c r="V125" s="121"/>
      <c r="W125" s="121"/>
      <c r="X125" s="121"/>
      <c r="Y125" s="121"/>
      <c r="Z125" s="121"/>
      <c r="AA125" s="121"/>
      <c r="AB125" s="121"/>
      <c r="AC125" s="121"/>
      <c r="AD125" s="121"/>
      <c r="AE125" s="121"/>
      <c r="AF125" s="121"/>
      <c r="AG125" s="121"/>
      <c r="AH125" s="121"/>
      <c r="AI125" s="121"/>
      <c r="AMD125"/>
      <c r="AME125"/>
      <c r="AMF125"/>
      <c r="AMG125"/>
      <c r="AMH125"/>
      <c r="AMI125"/>
      <c r="AMJ125"/>
    </row>
    <row r="126" spans="1:1024" s="122" customFormat="1">
      <c r="A126" s="133" t="s">
        <v>411</v>
      </c>
      <c r="B126" s="147" t="s">
        <v>842</v>
      </c>
      <c r="C126" s="133" t="s">
        <v>732</v>
      </c>
      <c r="D126" s="133">
        <v>0</v>
      </c>
      <c r="E126" s="133" t="s">
        <v>722</v>
      </c>
      <c r="F126" s="145">
        <v>1.8143694800000001</v>
      </c>
      <c r="G126" s="128"/>
      <c r="H126" s="145" t="s">
        <v>717</v>
      </c>
      <c r="I126" s="137">
        <f t="shared" si="4"/>
        <v>0.53844218270387212</v>
      </c>
      <c r="J126" s="138">
        <v>1.0918532680834101</v>
      </c>
      <c r="K126" s="138"/>
      <c r="L126" s="139" t="s">
        <v>710</v>
      </c>
      <c r="M126" s="121"/>
      <c r="N126" s="121"/>
      <c r="O126" s="121"/>
      <c r="P126" s="121"/>
      <c r="Q126" s="121"/>
      <c r="R126" s="121"/>
      <c r="S126" s="121"/>
      <c r="T126" s="121"/>
      <c r="U126" s="121"/>
      <c r="V126" s="121"/>
      <c r="W126" s="121"/>
      <c r="X126" s="121"/>
      <c r="Y126" s="121"/>
      <c r="Z126" s="121"/>
      <c r="AA126" s="121"/>
      <c r="AB126" s="121"/>
      <c r="AC126" s="121"/>
      <c r="AD126" s="121"/>
      <c r="AE126" s="121"/>
      <c r="AF126" s="121"/>
      <c r="AG126" s="121"/>
      <c r="AH126" s="121"/>
      <c r="AI126" s="121"/>
      <c r="AMD126"/>
      <c r="AME126"/>
      <c r="AMF126"/>
      <c r="AMG126"/>
      <c r="AMH126"/>
      <c r="AMI126"/>
      <c r="AMJ126"/>
    </row>
    <row r="127" spans="1:1024" s="122" customFormat="1">
      <c r="A127" s="133" t="s">
        <v>411</v>
      </c>
      <c r="B127" s="147" t="s">
        <v>843</v>
      </c>
      <c r="C127" s="133" t="s">
        <v>732</v>
      </c>
      <c r="D127" s="133">
        <v>0</v>
      </c>
      <c r="E127" s="133" t="s">
        <v>722</v>
      </c>
      <c r="F127" s="145">
        <v>0.68038855499999995</v>
      </c>
      <c r="G127" s="128"/>
      <c r="H127" s="145" t="s">
        <v>717</v>
      </c>
      <c r="I127" s="137">
        <f t="shared" si="4"/>
        <v>0.20191581851395202</v>
      </c>
      <c r="J127" s="150">
        <v>0.97</v>
      </c>
      <c r="K127" s="142"/>
      <c r="L127" s="139" t="s">
        <v>710</v>
      </c>
      <c r="M127" s="121"/>
      <c r="N127" s="121"/>
      <c r="O127" s="121"/>
      <c r="P127" s="121"/>
      <c r="Q127" s="121"/>
      <c r="R127" s="121"/>
      <c r="S127" s="121"/>
      <c r="T127" s="121"/>
      <c r="U127" s="121"/>
      <c r="V127" s="121"/>
      <c r="W127" s="121"/>
      <c r="X127" s="121"/>
      <c r="Y127" s="121"/>
      <c r="Z127" s="121"/>
      <c r="AA127" s="121"/>
      <c r="AB127" s="121"/>
      <c r="AC127" s="121"/>
      <c r="AD127" s="121"/>
      <c r="AE127" s="121"/>
      <c r="AF127" s="121"/>
      <c r="AG127" s="121"/>
      <c r="AH127" s="121"/>
      <c r="AI127" s="121"/>
      <c r="AMD127"/>
      <c r="AME127"/>
      <c r="AMF127"/>
      <c r="AMG127"/>
      <c r="AMH127"/>
      <c r="AMI127"/>
      <c r="AMJ127"/>
    </row>
    <row r="128" spans="1:1024" s="122" customFormat="1">
      <c r="A128" s="133" t="s">
        <v>411</v>
      </c>
      <c r="B128" s="147" t="s">
        <v>844</v>
      </c>
      <c r="C128" s="133" t="s">
        <v>737</v>
      </c>
      <c r="D128" s="133">
        <v>0</v>
      </c>
      <c r="E128" s="133" t="s">
        <v>722</v>
      </c>
      <c r="F128" s="145">
        <v>25</v>
      </c>
      <c r="G128" s="128"/>
      <c r="H128" s="145" t="s">
        <v>717</v>
      </c>
      <c r="I128" s="137">
        <f t="shared" si="4"/>
        <v>7.4191363534161754</v>
      </c>
      <c r="J128" s="141">
        <v>0.09</v>
      </c>
      <c r="K128" s="138"/>
      <c r="L128" s="139" t="s">
        <v>710</v>
      </c>
      <c r="M128" s="121"/>
      <c r="N128" s="121"/>
      <c r="O128" s="121"/>
      <c r="P128" s="121"/>
      <c r="Q128" s="121"/>
      <c r="R128" s="121"/>
      <c r="S128" s="121"/>
      <c r="T128" s="121"/>
      <c r="U128" s="121"/>
      <c r="V128" s="121"/>
      <c r="W128" s="121"/>
      <c r="X128" s="121"/>
      <c r="Y128" s="121"/>
      <c r="Z128" s="121"/>
      <c r="AA128" s="121"/>
      <c r="AB128" s="121"/>
      <c r="AC128" s="121"/>
      <c r="AD128" s="121"/>
      <c r="AE128" s="121"/>
      <c r="AF128" s="121"/>
      <c r="AG128" s="121"/>
      <c r="AH128" s="121"/>
      <c r="AI128" s="121"/>
      <c r="AMD128"/>
      <c r="AME128"/>
      <c r="AMF128"/>
      <c r="AMG128"/>
      <c r="AMH128"/>
      <c r="AMI128"/>
      <c r="AMJ128"/>
    </row>
    <row r="129" spans="1:1024" s="122" customFormat="1">
      <c r="A129" s="133" t="s">
        <v>411</v>
      </c>
      <c r="B129" s="147" t="s">
        <v>845</v>
      </c>
      <c r="C129" s="133" t="s">
        <v>715</v>
      </c>
      <c r="D129" s="133">
        <v>0</v>
      </c>
      <c r="E129" s="133" t="s">
        <v>846</v>
      </c>
      <c r="F129" s="145">
        <v>120</v>
      </c>
      <c r="G129" s="128"/>
      <c r="H129" s="145" t="s">
        <v>717</v>
      </c>
      <c r="I129" s="137">
        <f t="shared" si="4"/>
        <v>35.61185449639764</v>
      </c>
      <c r="J129" s="138">
        <v>201.983126416326</v>
      </c>
      <c r="K129" s="138">
        <v>52.439472322134698</v>
      </c>
      <c r="L129" s="139" t="s">
        <v>710</v>
      </c>
      <c r="M129" s="121"/>
      <c r="N129" s="121"/>
      <c r="O129" s="121"/>
      <c r="P129" s="121"/>
      <c r="Q129" s="121"/>
      <c r="R129" s="121"/>
      <c r="S129" s="121"/>
      <c r="T129" s="121"/>
      <c r="U129" s="121"/>
      <c r="V129" s="121"/>
      <c r="W129" s="121"/>
      <c r="X129" s="121"/>
      <c r="Y129" s="121"/>
      <c r="Z129" s="121"/>
      <c r="AA129" s="121"/>
      <c r="AB129" s="121"/>
      <c r="AC129" s="121"/>
      <c r="AD129" s="121"/>
      <c r="AE129" s="121"/>
      <c r="AF129" s="121"/>
      <c r="AG129" s="121"/>
      <c r="AH129" s="121"/>
      <c r="AI129" s="121"/>
      <c r="AMD129"/>
      <c r="AME129"/>
      <c r="AMF129"/>
      <c r="AMG129"/>
      <c r="AMH129"/>
      <c r="AMI129"/>
      <c r="AMJ129"/>
    </row>
    <row r="130" spans="1:1024" s="122" customFormat="1">
      <c r="A130" s="133" t="s">
        <v>411</v>
      </c>
      <c r="B130" s="147" t="s">
        <v>847</v>
      </c>
      <c r="C130" s="133" t="s">
        <v>715</v>
      </c>
      <c r="D130" s="133">
        <v>0</v>
      </c>
      <c r="E130" s="133" t="s">
        <v>807</v>
      </c>
      <c r="F130" s="145">
        <v>1233</v>
      </c>
      <c r="G130" s="128"/>
      <c r="H130" s="145" t="s">
        <v>717</v>
      </c>
      <c r="I130" s="137">
        <f t="shared" si="4"/>
        <v>365.91180495048576</v>
      </c>
      <c r="J130" s="138">
        <v>10.8010271995223</v>
      </c>
      <c r="K130" s="138">
        <v>4.86704412710277</v>
      </c>
      <c r="L130" s="139" t="s">
        <v>710</v>
      </c>
      <c r="M130" s="121"/>
      <c r="N130" s="121"/>
      <c r="O130" s="121"/>
      <c r="P130" s="121"/>
      <c r="Q130" s="121"/>
      <c r="R130" s="121"/>
      <c r="S130" s="121"/>
      <c r="T130" s="121"/>
      <c r="U130" s="121"/>
      <c r="V130" s="121"/>
      <c r="W130" s="121"/>
      <c r="X130" s="121"/>
      <c r="Y130" s="121"/>
      <c r="Z130" s="121"/>
      <c r="AA130" s="121"/>
      <c r="AB130" s="121"/>
      <c r="AC130" s="121"/>
      <c r="AD130" s="121"/>
      <c r="AE130" s="121"/>
      <c r="AF130" s="121"/>
      <c r="AG130" s="121"/>
      <c r="AH130" s="121"/>
      <c r="AI130" s="121"/>
      <c r="AMD130"/>
      <c r="AME130"/>
      <c r="AMF130"/>
      <c r="AMG130"/>
      <c r="AMH130"/>
      <c r="AMI130"/>
      <c r="AMJ130"/>
    </row>
    <row r="131" spans="1:1024" s="122" customFormat="1">
      <c r="A131" s="133" t="s">
        <v>411</v>
      </c>
      <c r="B131" s="147" t="s">
        <v>848</v>
      </c>
      <c r="C131" s="133" t="s">
        <v>715</v>
      </c>
      <c r="D131" s="133">
        <v>0</v>
      </c>
      <c r="E131" s="133" t="s">
        <v>807</v>
      </c>
      <c r="F131" s="145">
        <v>386</v>
      </c>
      <c r="G131" s="128"/>
      <c r="H131" s="145" t="s">
        <v>717</v>
      </c>
      <c r="I131" s="137">
        <f t="shared" si="4"/>
        <v>114.55146529674575</v>
      </c>
      <c r="J131" s="138">
        <v>14.4024934362388</v>
      </c>
      <c r="K131" s="138">
        <v>6.4825766990444196</v>
      </c>
      <c r="L131" s="139" t="s">
        <v>710</v>
      </c>
      <c r="M131" s="121"/>
      <c r="N131" s="121"/>
      <c r="O131" s="121"/>
      <c r="P131" s="121"/>
      <c r="Q131" s="121"/>
      <c r="R131" s="121"/>
      <c r="S131" s="121"/>
      <c r="T131" s="121"/>
      <c r="U131" s="121"/>
      <c r="V131" s="121"/>
      <c r="W131" s="121"/>
      <c r="X131" s="121"/>
      <c r="Y131" s="121"/>
      <c r="Z131" s="121"/>
      <c r="AA131" s="121"/>
      <c r="AB131" s="121"/>
      <c r="AC131" s="121"/>
      <c r="AD131" s="121"/>
      <c r="AE131" s="121"/>
      <c r="AF131" s="121"/>
      <c r="AG131" s="121"/>
      <c r="AH131" s="121"/>
      <c r="AI131" s="121"/>
      <c r="AMD131"/>
      <c r="AME131"/>
      <c r="AMF131"/>
      <c r="AMG131"/>
      <c r="AMH131"/>
      <c r="AMI131"/>
      <c r="AMJ131"/>
    </row>
    <row r="132" spans="1:1024" s="122" customFormat="1">
      <c r="A132" s="133" t="s">
        <v>411</v>
      </c>
      <c r="B132" s="147" t="s">
        <v>849</v>
      </c>
      <c r="C132" s="133" t="s">
        <v>715</v>
      </c>
      <c r="D132" s="133">
        <v>0</v>
      </c>
      <c r="E132" s="133" t="s">
        <v>751</v>
      </c>
      <c r="F132" s="145">
        <v>149.6854821</v>
      </c>
      <c r="G132" s="128"/>
      <c r="H132" s="145" t="s">
        <v>717</v>
      </c>
      <c r="I132" s="137">
        <f t="shared" si="4"/>
        <v>44.421480073069446</v>
      </c>
      <c r="J132" s="138">
        <v>31.206243197344602</v>
      </c>
      <c r="K132" s="138">
        <v>6.4825766990444196</v>
      </c>
      <c r="L132" s="139" t="s">
        <v>710</v>
      </c>
      <c r="M132" s="121"/>
      <c r="N132" s="121"/>
      <c r="O132" s="121"/>
      <c r="P132" s="121"/>
      <c r="Q132" s="121"/>
      <c r="R132" s="121"/>
      <c r="S132" s="121"/>
      <c r="T132" s="121"/>
      <c r="U132" s="121"/>
      <c r="V132" s="121"/>
      <c r="W132" s="121"/>
      <c r="X132" s="121"/>
      <c r="Y132" s="121"/>
      <c r="Z132" s="121"/>
      <c r="AA132" s="121"/>
      <c r="AB132" s="121"/>
      <c r="AC132" s="121"/>
      <c r="AD132" s="121"/>
      <c r="AE132" s="121"/>
      <c r="AF132" s="121"/>
      <c r="AG132" s="121"/>
      <c r="AH132" s="121"/>
      <c r="AI132" s="121"/>
      <c r="AMD132"/>
      <c r="AME132"/>
      <c r="AMF132"/>
      <c r="AMG132"/>
      <c r="AMH132"/>
      <c r="AMI132"/>
      <c r="AMJ132"/>
    </row>
    <row r="133" spans="1:1024" s="122" customFormat="1">
      <c r="A133" s="133" t="s">
        <v>411</v>
      </c>
      <c r="B133" s="147" t="s">
        <v>850</v>
      </c>
      <c r="C133" s="133" t="s">
        <v>715</v>
      </c>
      <c r="D133" s="133">
        <v>0</v>
      </c>
      <c r="E133" s="133" t="s">
        <v>722</v>
      </c>
      <c r="F133" s="145">
        <v>386</v>
      </c>
      <c r="G133" s="128"/>
      <c r="H133" s="145" t="s">
        <v>717</v>
      </c>
      <c r="I133" s="137">
        <f t="shared" si="4"/>
        <v>114.55146529674575</v>
      </c>
      <c r="J133" s="150">
        <v>7.55305524925169</v>
      </c>
      <c r="K133" s="143">
        <v>4.86704412710277</v>
      </c>
      <c r="L133" s="139" t="s">
        <v>710</v>
      </c>
      <c r="M133" s="121"/>
      <c r="N133" s="121"/>
      <c r="O133" s="121"/>
      <c r="P133" s="121"/>
      <c r="Q133" s="121"/>
      <c r="R133" s="121"/>
      <c r="S133" s="121"/>
      <c r="T133" s="121"/>
      <c r="U133" s="121"/>
      <c r="V133" s="121"/>
      <c r="W133" s="121"/>
      <c r="X133" s="121"/>
      <c r="Y133" s="121"/>
      <c r="Z133" s="121"/>
      <c r="AA133" s="121"/>
      <c r="AB133" s="121"/>
      <c r="AC133" s="121"/>
      <c r="AD133" s="121"/>
      <c r="AE133" s="121"/>
      <c r="AF133" s="121"/>
      <c r="AG133" s="121"/>
      <c r="AH133" s="121"/>
      <c r="AI133" s="121"/>
      <c r="AMD133"/>
      <c r="AME133"/>
      <c r="AMF133"/>
      <c r="AMG133"/>
      <c r="AMH133"/>
      <c r="AMI133"/>
      <c r="AMJ133"/>
    </row>
    <row r="134" spans="1:1024" s="122" customFormat="1">
      <c r="A134" s="133" t="s">
        <v>411</v>
      </c>
      <c r="B134" s="147" t="s">
        <v>851</v>
      </c>
      <c r="C134" s="133" t="s">
        <v>715</v>
      </c>
      <c r="D134" s="133">
        <v>0</v>
      </c>
      <c r="E134" s="133"/>
      <c r="F134" s="145">
        <v>120</v>
      </c>
      <c r="G134" s="128"/>
      <c r="H134" s="145" t="s">
        <v>717</v>
      </c>
      <c r="I134" s="137">
        <f t="shared" si="4"/>
        <v>35.61185449639764</v>
      </c>
      <c r="J134" s="138">
        <v>177.19</v>
      </c>
      <c r="K134" s="138">
        <v>49.02</v>
      </c>
      <c r="L134" s="139" t="s">
        <v>710</v>
      </c>
      <c r="M134" s="121"/>
      <c r="N134" s="121"/>
      <c r="O134" s="121"/>
      <c r="P134" s="121"/>
      <c r="Q134" s="121"/>
      <c r="R134" s="121"/>
      <c r="S134" s="121"/>
      <c r="T134" s="121"/>
      <c r="U134" s="121"/>
      <c r="V134" s="121"/>
      <c r="W134" s="121"/>
      <c r="X134" s="121"/>
      <c r="Y134" s="121"/>
      <c r="Z134" s="121"/>
      <c r="AA134" s="121"/>
      <c r="AB134" s="121"/>
      <c r="AC134" s="121"/>
      <c r="AD134" s="121"/>
      <c r="AE134" s="121"/>
      <c r="AF134" s="121"/>
      <c r="AG134" s="121"/>
      <c r="AH134" s="121"/>
      <c r="AI134" s="121"/>
      <c r="AMD134"/>
      <c r="AME134"/>
      <c r="AMF134"/>
      <c r="AMG134"/>
      <c r="AMH134"/>
      <c r="AMI134"/>
      <c r="AMJ134"/>
    </row>
    <row r="135" spans="1:1024" s="122" customFormat="1">
      <c r="A135" s="133" t="s">
        <v>411</v>
      </c>
      <c r="B135" s="147" t="s">
        <v>852</v>
      </c>
      <c r="C135" s="133" t="s">
        <v>715</v>
      </c>
      <c r="D135" s="133"/>
      <c r="E135" s="133" t="s">
        <v>722</v>
      </c>
      <c r="F135" s="145">
        <v>11.34</v>
      </c>
      <c r="G135" s="128"/>
      <c r="H135" s="145" t="s">
        <v>717</v>
      </c>
      <c r="I135" s="137">
        <f t="shared" si="4"/>
        <v>3.3653202499095771</v>
      </c>
      <c r="J135" s="138">
        <v>40.035946812773801</v>
      </c>
      <c r="K135" s="138">
        <v>11.515232087354301</v>
      </c>
      <c r="L135" s="139" t="s">
        <v>710</v>
      </c>
      <c r="M135" s="121"/>
      <c r="N135" s="121"/>
      <c r="O135" s="121"/>
      <c r="P135" s="121"/>
      <c r="Q135" s="121"/>
      <c r="R135" s="121"/>
      <c r="S135" s="121"/>
      <c r="T135" s="121"/>
      <c r="U135" s="121"/>
      <c r="V135" s="121"/>
      <c r="W135" s="121"/>
      <c r="X135" s="121"/>
      <c r="Y135" s="121"/>
      <c r="Z135" s="121"/>
      <c r="AA135" s="121"/>
      <c r="AB135" s="121"/>
      <c r="AC135" s="121"/>
      <c r="AD135" s="121"/>
      <c r="AE135" s="121"/>
      <c r="AF135" s="121"/>
      <c r="AG135" s="121"/>
      <c r="AH135" s="121"/>
      <c r="AI135" s="121"/>
      <c r="AMD135"/>
      <c r="AME135"/>
      <c r="AMF135"/>
      <c r="AMG135"/>
      <c r="AMH135"/>
      <c r="AMI135"/>
      <c r="AMJ135"/>
    </row>
    <row r="136" spans="1:1024" s="122" customFormat="1">
      <c r="A136" s="133" t="s">
        <v>411</v>
      </c>
      <c r="B136" s="147" t="s">
        <v>853</v>
      </c>
      <c r="C136" s="133" t="s">
        <v>715</v>
      </c>
      <c r="D136" s="133" t="s">
        <v>716</v>
      </c>
      <c r="E136" s="133"/>
      <c r="F136" s="145">
        <v>13.15</v>
      </c>
      <c r="G136" s="128"/>
      <c r="H136" s="145" t="s">
        <v>717</v>
      </c>
      <c r="I136" s="137">
        <f t="shared" si="4"/>
        <v>3.9024657218969083</v>
      </c>
      <c r="J136" s="150">
        <v>94.646729800059504</v>
      </c>
      <c r="K136" s="143">
        <v>11.254212472092</v>
      </c>
      <c r="L136" s="139" t="s">
        <v>710</v>
      </c>
      <c r="M136" s="121"/>
      <c r="N136" s="121"/>
      <c r="O136" s="121"/>
      <c r="P136" s="121"/>
      <c r="Q136" s="121"/>
      <c r="R136" s="121"/>
      <c r="S136" s="121"/>
      <c r="T136" s="121"/>
      <c r="U136" s="121"/>
      <c r="V136" s="121"/>
      <c r="W136" s="121"/>
      <c r="X136" s="121"/>
      <c r="Y136" s="121"/>
      <c r="Z136" s="121"/>
      <c r="AA136" s="121"/>
      <c r="AB136" s="121"/>
      <c r="AC136" s="121"/>
      <c r="AD136" s="121"/>
      <c r="AE136" s="121"/>
      <c r="AF136" s="121"/>
      <c r="AG136" s="121"/>
      <c r="AH136" s="121"/>
      <c r="AI136" s="121"/>
      <c r="AMD136"/>
      <c r="AME136"/>
      <c r="AMF136"/>
      <c r="AMG136"/>
      <c r="AMH136"/>
      <c r="AMI136"/>
      <c r="AMJ136"/>
    </row>
    <row r="137" spans="1:1024" s="122" customFormat="1">
      <c r="A137" s="133" t="s">
        <v>411</v>
      </c>
      <c r="B137" s="147" t="s">
        <v>854</v>
      </c>
      <c r="C137" s="133" t="s">
        <v>715</v>
      </c>
      <c r="D137" s="133" t="s">
        <v>716</v>
      </c>
      <c r="E137" s="133"/>
      <c r="F137" s="145">
        <v>39.01</v>
      </c>
      <c r="G137" s="128"/>
      <c r="H137" s="145" t="s">
        <v>717</v>
      </c>
      <c r="I137" s="137">
        <f t="shared" si="4"/>
        <v>11.576820365870599</v>
      </c>
      <c r="J137" s="150">
        <v>32.505366098886597</v>
      </c>
      <c r="K137" s="143">
        <v>10.9455292843574</v>
      </c>
      <c r="L137" s="139" t="s">
        <v>710</v>
      </c>
      <c r="M137" s="121"/>
      <c r="N137" s="121"/>
      <c r="O137" s="121"/>
      <c r="P137" s="121"/>
      <c r="Q137" s="121"/>
      <c r="R137" s="121"/>
      <c r="S137" s="121"/>
      <c r="T137" s="121"/>
      <c r="U137" s="121"/>
      <c r="V137" s="121"/>
      <c r="W137" s="121"/>
      <c r="X137" s="121"/>
      <c r="Y137" s="121"/>
      <c r="Z137" s="121"/>
      <c r="AA137" s="121"/>
      <c r="AB137" s="121"/>
      <c r="AC137" s="121"/>
      <c r="AD137" s="121"/>
      <c r="AE137" s="121"/>
      <c r="AF137" s="121"/>
      <c r="AG137" s="121"/>
      <c r="AH137" s="121"/>
      <c r="AI137" s="121"/>
      <c r="AMD137"/>
      <c r="AME137"/>
      <c r="AMF137"/>
      <c r="AMG137"/>
      <c r="AMH137"/>
      <c r="AMI137"/>
      <c r="AMJ137"/>
    </row>
    <row r="138" spans="1:1024" s="122" customFormat="1">
      <c r="A138" s="133" t="s">
        <v>411</v>
      </c>
      <c r="B138" s="147" t="s">
        <v>855</v>
      </c>
      <c r="C138" s="133" t="s">
        <v>732</v>
      </c>
      <c r="D138" s="133">
        <v>0</v>
      </c>
      <c r="E138" s="133" t="s">
        <v>722</v>
      </c>
      <c r="F138" s="145">
        <v>6.8</v>
      </c>
      <c r="G138" s="128"/>
      <c r="H138" s="145" t="s">
        <v>717</v>
      </c>
      <c r="I138" s="137">
        <f t="shared" si="4"/>
        <v>2.0180050881291995</v>
      </c>
      <c r="J138" s="138">
        <v>1.5808027315837501</v>
      </c>
      <c r="K138" s="138"/>
      <c r="L138" s="139" t="s">
        <v>710</v>
      </c>
      <c r="M138" s="121"/>
      <c r="N138" s="121"/>
      <c r="O138" s="121"/>
      <c r="P138" s="121"/>
      <c r="Q138" s="121"/>
      <c r="R138" s="121"/>
      <c r="S138" s="121"/>
      <c r="T138" s="121"/>
      <c r="U138" s="121"/>
      <c r="V138" s="121"/>
      <c r="W138" s="121"/>
      <c r="X138" s="121"/>
      <c r="Y138" s="121"/>
      <c r="Z138" s="121"/>
      <c r="AA138" s="121"/>
      <c r="AB138" s="121"/>
      <c r="AC138" s="121"/>
      <c r="AD138" s="121"/>
      <c r="AE138" s="121"/>
      <c r="AF138" s="121"/>
      <c r="AG138" s="121"/>
      <c r="AH138" s="121"/>
      <c r="AI138" s="121"/>
      <c r="AMD138"/>
      <c r="AME138"/>
      <c r="AMF138"/>
      <c r="AMG138"/>
      <c r="AMH138"/>
      <c r="AMI138"/>
      <c r="AMJ138"/>
    </row>
    <row r="139" spans="1:1024" s="122" customFormat="1">
      <c r="A139" s="133" t="s">
        <v>411</v>
      </c>
      <c r="B139" s="147" t="s">
        <v>856</v>
      </c>
      <c r="C139" s="133" t="s">
        <v>732</v>
      </c>
      <c r="D139" s="133">
        <v>0</v>
      </c>
      <c r="E139" s="133" t="s">
        <v>722</v>
      </c>
      <c r="F139" s="145">
        <v>2.72</v>
      </c>
      <c r="G139" s="128"/>
      <c r="H139" s="145" t="s">
        <v>717</v>
      </c>
      <c r="I139" s="137">
        <f t="shared" si="4"/>
        <v>0.80720203525167988</v>
      </c>
      <c r="J139" s="138">
        <v>1.1920604910958399</v>
      </c>
      <c r="K139" s="138"/>
      <c r="L139" s="139" t="s">
        <v>710</v>
      </c>
      <c r="M139" s="121"/>
      <c r="N139" s="121"/>
      <c r="O139" s="121"/>
      <c r="P139" s="121"/>
      <c r="Q139" s="121"/>
      <c r="R139" s="121"/>
      <c r="S139" s="121"/>
      <c r="T139" s="121"/>
      <c r="U139" s="121"/>
      <c r="V139" s="121"/>
      <c r="W139" s="121"/>
      <c r="X139" s="121"/>
      <c r="Y139" s="121"/>
      <c r="Z139" s="121"/>
      <c r="AA139" s="121"/>
      <c r="AB139" s="121"/>
      <c r="AC139" s="121"/>
      <c r="AD139" s="121"/>
      <c r="AE139" s="121"/>
      <c r="AF139" s="121"/>
      <c r="AG139" s="121"/>
      <c r="AH139" s="121"/>
      <c r="AI139" s="121"/>
      <c r="AMD139"/>
      <c r="AME139"/>
      <c r="AMF139"/>
      <c r="AMG139"/>
      <c r="AMH139"/>
      <c r="AMI139"/>
      <c r="AMJ139"/>
    </row>
    <row r="140" spans="1:1024" s="122" customFormat="1">
      <c r="A140" s="133" t="s">
        <v>411</v>
      </c>
      <c r="B140" s="147" t="s">
        <v>857</v>
      </c>
      <c r="C140" s="133" t="s">
        <v>715</v>
      </c>
      <c r="D140" s="133">
        <v>0</v>
      </c>
      <c r="E140" s="133" t="s">
        <v>722</v>
      </c>
      <c r="F140" s="145">
        <v>206.38452835000001</v>
      </c>
      <c r="G140" s="128"/>
      <c r="H140" s="145" t="s">
        <v>717</v>
      </c>
      <c r="I140" s="137">
        <f t="shared" si="4"/>
        <v>61.247798282565455</v>
      </c>
      <c r="J140" s="138">
        <v>15.7666857395515</v>
      </c>
      <c r="K140" s="138">
        <v>4.86704412710277</v>
      </c>
      <c r="L140" s="139" t="s">
        <v>710</v>
      </c>
      <c r="M140" s="121"/>
      <c r="N140" s="121"/>
      <c r="O140" s="121"/>
      <c r="P140" s="121"/>
      <c r="Q140" s="121"/>
      <c r="R140" s="121"/>
      <c r="S140" s="121"/>
      <c r="T140" s="121"/>
      <c r="U140" s="121"/>
      <c r="V140" s="121"/>
      <c r="W140" s="121"/>
      <c r="X140" s="121"/>
      <c r="Y140" s="121"/>
      <c r="Z140" s="121"/>
      <c r="AA140" s="121"/>
      <c r="AB140" s="121"/>
      <c r="AC140" s="121"/>
      <c r="AD140" s="121"/>
      <c r="AE140" s="121"/>
      <c r="AF140" s="121"/>
      <c r="AG140" s="121"/>
      <c r="AH140" s="121"/>
      <c r="AI140" s="121"/>
      <c r="AMD140"/>
      <c r="AME140"/>
      <c r="AMF140"/>
      <c r="AMG140"/>
      <c r="AMH140"/>
      <c r="AMI140"/>
      <c r="AMJ140"/>
    </row>
    <row r="141" spans="1:1024" s="122" customFormat="1">
      <c r="A141" s="133" t="s">
        <v>411</v>
      </c>
      <c r="B141" s="147" t="s">
        <v>858</v>
      </c>
      <c r="C141" s="133" t="s">
        <v>715</v>
      </c>
      <c r="D141" s="133">
        <v>0</v>
      </c>
      <c r="E141" s="133" t="s">
        <v>722</v>
      </c>
      <c r="F141" s="145">
        <v>79.38</v>
      </c>
      <c r="G141" s="128"/>
      <c r="H141" s="145" t="s">
        <v>717</v>
      </c>
      <c r="I141" s="137">
        <f t="shared" si="4"/>
        <v>23.557241749367037</v>
      </c>
      <c r="J141" s="138">
        <v>7.2563578867708296</v>
      </c>
      <c r="K141" s="138">
        <v>6.4825766990444196</v>
      </c>
      <c r="L141" s="139" t="s">
        <v>710</v>
      </c>
      <c r="M141" s="121"/>
      <c r="N141" s="121"/>
      <c r="O141" s="121"/>
      <c r="P141" s="121"/>
      <c r="Q141" s="121"/>
      <c r="R141" s="121"/>
      <c r="S141" s="121"/>
      <c r="T141" s="121"/>
      <c r="U141" s="121"/>
      <c r="V141" s="121"/>
      <c r="W141" s="121"/>
      <c r="X141" s="121"/>
      <c r="Y141" s="121"/>
      <c r="Z141" s="121"/>
      <c r="AA141" s="121"/>
      <c r="AB141" s="121"/>
      <c r="AC141" s="121"/>
      <c r="AD141" s="121"/>
      <c r="AE141" s="121"/>
      <c r="AF141" s="121"/>
      <c r="AG141" s="121"/>
      <c r="AH141" s="121"/>
      <c r="AI141" s="121"/>
      <c r="AMD141"/>
      <c r="AME141"/>
      <c r="AMF141"/>
      <c r="AMG141"/>
      <c r="AMH141"/>
      <c r="AMI141"/>
      <c r="AMJ141"/>
    </row>
    <row r="142" spans="1:1024" s="122" customFormat="1">
      <c r="A142" s="133" t="s">
        <v>411</v>
      </c>
      <c r="B142" s="147" t="s">
        <v>859</v>
      </c>
      <c r="C142" s="133" t="s">
        <v>715</v>
      </c>
      <c r="D142" s="133">
        <v>0</v>
      </c>
      <c r="E142" s="133" t="s">
        <v>722</v>
      </c>
      <c r="F142" s="145">
        <v>64.86</v>
      </c>
      <c r="G142" s="128"/>
      <c r="H142" s="145" t="s">
        <v>717</v>
      </c>
      <c r="I142" s="137">
        <f t="shared" si="4"/>
        <v>19.248207355302924</v>
      </c>
      <c r="J142" s="138">
        <v>15.1728798376383</v>
      </c>
      <c r="K142" s="138">
        <v>6.4825766990444196</v>
      </c>
      <c r="L142" s="139" t="s">
        <v>710</v>
      </c>
      <c r="M142" s="121"/>
      <c r="N142" s="121"/>
      <c r="O142" s="121"/>
      <c r="P142" s="121"/>
      <c r="Q142" s="121"/>
      <c r="R142" s="121"/>
      <c r="S142" s="121"/>
      <c r="T142" s="121"/>
      <c r="U142" s="121"/>
      <c r="V142" s="121"/>
      <c r="W142" s="121"/>
      <c r="X142" s="121"/>
      <c r="Y142" s="121"/>
      <c r="Z142" s="121"/>
      <c r="AA142" s="121"/>
      <c r="AB142" s="121"/>
      <c r="AC142" s="121"/>
      <c r="AD142" s="121"/>
      <c r="AE142" s="121"/>
      <c r="AF142" s="121"/>
      <c r="AG142" s="121"/>
      <c r="AH142" s="121"/>
      <c r="AI142" s="121"/>
      <c r="AMD142"/>
      <c r="AME142"/>
      <c r="AMF142"/>
      <c r="AMG142"/>
      <c r="AMH142"/>
      <c r="AMI142"/>
      <c r="AMJ142"/>
    </row>
    <row r="143" spans="1:1024" s="122" customFormat="1">
      <c r="A143" s="133" t="s">
        <v>411</v>
      </c>
      <c r="B143" s="147" t="s">
        <v>860</v>
      </c>
      <c r="C143" s="133" t="s">
        <v>715</v>
      </c>
      <c r="D143" s="133">
        <v>0</v>
      </c>
      <c r="E143" s="133"/>
      <c r="F143" s="145">
        <v>129</v>
      </c>
      <c r="G143" s="128"/>
      <c r="H143" s="145" t="s">
        <v>717</v>
      </c>
      <c r="I143" s="137">
        <f t="shared" si="4"/>
        <v>38.282743583627465</v>
      </c>
      <c r="J143" s="138">
        <v>177.19</v>
      </c>
      <c r="K143" s="138">
        <v>49.02</v>
      </c>
      <c r="L143" s="139" t="s">
        <v>710</v>
      </c>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1"/>
      <c r="AMD143"/>
      <c r="AME143"/>
      <c r="AMF143"/>
      <c r="AMG143"/>
      <c r="AMH143"/>
      <c r="AMI143"/>
      <c r="AMJ143"/>
    </row>
    <row r="144" spans="1:1024" s="122" customFormat="1" ht="25.5">
      <c r="A144" s="133" t="s">
        <v>412</v>
      </c>
      <c r="B144" s="147" t="s">
        <v>861</v>
      </c>
      <c r="C144" s="133" t="s">
        <v>715</v>
      </c>
      <c r="D144" s="133">
        <v>800</v>
      </c>
      <c r="E144" s="133" t="s">
        <v>722</v>
      </c>
      <c r="F144" s="145">
        <v>800</v>
      </c>
      <c r="G144" s="128"/>
      <c r="H144" s="145" t="s">
        <v>717</v>
      </c>
      <c r="I144" s="137">
        <f t="shared" si="4"/>
        <v>237.41236330931761</v>
      </c>
      <c r="J144" s="138">
        <v>180.66753345300501</v>
      </c>
      <c r="K144" s="138">
        <v>110.33500189019399</v>
      </c>
      <c r="L144" s="139" t="s">
        <v>710</v>
      </c>
      <c r="M144" s="121"/>
      <c r="N144" s="121"/>
      <c r="O144" s="121"/>
      <c r="P144" s="121"/>
      <c r="Q144" s="121"/>
      <c r="R144" s="121"/>
      <c r="S144" s="121"/>
      <c r="T144" s="121"/>
      <c r="U144" s="121"/>
      <c r="V144" s="121"/>
      <c r="W144" s="121"/>
      <c r="X144" s="121"/>
      <c r="Y144" s="121"/>
      <c r="Z144" s="121"/>
      <c r="AA144" s="121"/>
      <c r="AB144" s="121"/>
      <c r="AC144" s="121"/>
      <c r="AD144" s="121"/>
      <c r="AE144" s="121"/>
      <c r="AF144" s="121"/>
      <c r="AG144" s="121"/>
      <c r="AH144" s="121"/>
      <c r="AI144" s="121"/>
      <c r="AMD144"/>
      <c r="AME144"/>
      <c r="AMF144"/>
      <c r="AMG144"/>
      <c r="AMH144"/>
      <c r="AMI144"/>
      <c r="AMJ144"/>
    </row>
    <row r="145" spans="1:1024" s="122" customFormat="1" ht="25.5">
      <c r="A145" s="133" t="s">
        <v>412</v>
      </c>
      <c r="B145" s="147" t="s">
        <v>862</v>
      </c>
      <c r="C145" s="133" t="s">
        <v>715</v>
      </c>
      <c r="D145" s="133">
        <v>1200</v>
      </c>
      <c r="E145" s="133" t="s">
        <v>722</v>
      </c>
      <c r="F145" s="145">
        <v>1200</v>
      </c>
      <c r="G145" s="128"/>
      <c r="H145" s="145" t="s">
        <v>717</v>
      </c>
      <c r="I145" s="137">
        <f t="shared" si="4"/>
        <v>356.11854496397643</v>
      </c>
      <c r="J145" s="138">
        <v>151.05212800588399</v>
      </c>
      <c r="K145" s="138">
        <v>109.15343046162199</v>
      </c>
      <c r="L145" s="139" t="s">
        <v>710</v>
      </c>
      <c r="M145" s="121"/>
      <c r="N145" s="121"/>
      <c r="O145" s="121"/>
      <c r="P145" s="121"/>
      <c r="Q145" s="121"/>
      <c r="R145" s="121"/>
      <c r="S145" s="121"/>
      <c r="T145" s="121"/>
      <c r="U145" s="121"/>
      <c r="V145" s="121"/>
      <c r="W145" s="121"/>
      <c r="X145" s="121"/>
      <c r="Y145" s="121"/>
      <c r="Z145" s="121"/>
      <c r="AA145" s="121"/>
      <c r="AB145" s="121"/>
      <c r="AC145" s="121"/>
      <c r="AD145" s="121"/>
      <c r="AE145" s="121"/>
      <c r="AF145" s="121"/>
      <c r="AG145" s="121"/>
      <c r="AH145" s="121"/>
      <c r="AI145" s="121"/>
      <c r="AMD145"/>
      <c r="AME145"/>
      <c r="AMF145"/>
      <c r="AMG145"/>
      <c r="AMH145"/>
      <c r="AMI145"/>
      <c r="AMJ145"/>
    </row>
    <row r="146" spans="1:1024" s="122" customFormat="1" ht="25.5">
      <c r="A146" s="133" t="s">
        <v>412</v>
      </c>
      <c r="B146" s="147" t="s">
        <v>863</v>
      </c>
      <c r="C146" s="133" t="s">
        <v>715</v>
      </c>
      <c r="D146" s="133">
        <v>1000</v>
      </c>
      <c r="E146" s="133" t="s">
        <v>722</v>
      </c>
      <c r="F146" s="145">
        <v>1000</v>
      </c>
      <c r="G146" s="128"/>
      <c r="H146" s="145" t="s">
        <v>717</v>
      </c>
      <c r="I146" s="137">
        <f t="shared" si="4"/>
        <v>296.76545413664701</v>
      </c>
      <c r="J146" s="138">
        <v>191.83076164848001</v>
      </c>
      <c r="K146" s="138">
        <v>62.347120813639101</v>
      </c>
      <c r="L146" s="139" t="s">
        <v>710</v>
      </c>
      <c r="M146" s="121"/>
      <c r="N146" s="121"/>
      <c r="O146" s="121"/>
      <c r="P146" s="121"/>
      <c r="Q146" s="121"/>
      <c r="R146" s="121"/>
      <c r="S146" s="121"/>
      <c r="T146" s="121"/>
      <c r="U146" s="121"/>
      <c r="V146" s="121"/>
      <c r="W146" s="121"/>
      <c r="X146" s="121"/>
      <c r="Y146" s="121"/>
      <c r="Z146" s="121"/>
      <c r="AA146" s="121"/>
      <c r="AB146" s="121"/>
      <c r="AC146" s="121"/>
      <c r="AD146" s="121"/>
      <c r="AE146" s="121"/>
      <c r="AF146" s="121"/>
      <c r="AG146" s="121"/>
      <c r="AH146" s="121"/>
      <c r="AI146" s="121"/>
      <c r="AMD146"/>
      <c r="AME146"/>
      <c r="AMF146"/>
      <c r="AMG146"/>
      <c r="AMH146"/>
      <c r="AMI146"/>
      <c r="AMJ146"/>
    </row>
    <row r="147" spans="1:1024" s="122" customFormat="1">
      <c r="A147" s="133" t="s">
        <v>412</v>
      </c>
      <c r="B147" s="147" t="s">
        <v>864</v>
      </c>
      <c r="C147" s="133" t="s">
        <v>715</v>
      </c>
      <c r="D147" s="133">
        <v>50</v>
      </c>
      <c r="E147" s="133" t="s">
        <v>722</v>
      </c>
      <c r="F147" s="145">
        <v>50</v>
      </c>
      <c r="G147" s="128"/>
      <c r="H147" s="145" t="s">
        <v>717</v>
      </c>
      <c r="I147" s="137">
        <f t="shared" si="4"/>
        <v>14.838272706832351</v>
      </c>
      <c r="J147" s="138">
        <v>93.046802281125593</v>
      </c>
      <c r="K147" s="138">
        <v>25.569500969055898</v>
      </c>
      <c r="L147" s="139" t="s">
        <v>738</v>
      </c>
      <c r="M147" s="121"/>
      <c r="N147" s="121"/>
      <c r="O147" s="121"/>
      <c r="P147" s="121"/>
      <c r="Q147" s="121"/>
      <c r="R147" s="121"/>
      <c r="S147" s="121"/>
      <c r="T147" s="121"/>
      <c r="U147" s="121"/>
      <c r="V147" s="121"/>
      <c r="W147" s="121"/>
      <c r="X147" s="121"/>
      <c r="Y147" s="121"/>
      <c r="Z147" s="121"/>
      <c r="AA147" s="121"/>
      <c r="AB147" s="121"/>
      <c r="AC147" s="121"/>
      <c r="AD147" s="121"/>
      <c r="AE147" s="121"/>
      <c r="AF147" s="121"/>
      <c r="AG147" s="121"/>
      <c r="AH147" s="121"/>
      <c r="AI147" s="121"/>
      <c r="AMD147"/>
      <c r="AME147"/>
      <c r="AMF147"/>
      <c r="AMG147"/>
      <c r="AMH147"/>
      <c r="AMI147"/>
      <c r="AMJ147"/>
    </row>
    <row r="148" spans="1:1024" s="122" customFormat="1">
      <c r="A148" s="133" t="s">
        <v>412</v>
      </c>
      <c r="B148" s="147" t="s">
        <v>865</v>
      </c>
      <c r="C148" s="133" t="s">
        <v>715</v>
      </c>
      <c r="D148" s="133">
        <v>50</v>
      </c>
      <c r="E148" s="133" t="s">
        <v>722</v>
      </c>
      <c r="F148" s="145">
        <v>50</v>
      </c>
      <c r="G148" s="128"/>
      <c r="H148" s="145" t="s">
        <v>717</v>
      </c>
      <c r="I148" s="137">
        <f t="shared" ref="I148:I184" si="5">IF(A148="Equipos Rotativos",F148,F148*fac_piping)</f>
        <v>14.838272706832351</v>
      </c>
      <c r="J148" s="138">
        <v>96.666495881217202</v>
      </c>
      <c r="K148" s="138">
        <v>25.569500969055898</v>
      </c>
      <c r="L148" s="139" t="s">
        <v>710</v>
      </c>
      <c r="M148" s="121"/>
      <c r="N148" s="121"/>
      <c r="O148" s="121"/>
      <c r="P148" s="121"/>
      <c r="Q148" s="121"/>
      <c r="R148" s="121"/>
      <c r="S148" s="121"/>
      <c r="T148" s="121"/>
      <c r="U148" s="121"/>
      <c r="V148" s="121"/>
      <c r="W148" s="121"/>
      <c r="X148" s="121"/>
      <c r="Y148" s="121"/>
      <c r="Z148" s="121"/>
      <c r="AA148" s="121"/>
      <c r="AB148" s="121"/>
      <c r="AC148" s="121"/>
      <c r="AD148" s="121"/>
      <c r="AE148" s="121"/>
      <c r="AF148" s="121"/>
      <c r="AG148" s="121"/>
      <c r="AH148" s="121"/>
      <c r="AI148" s="121"/>
      <c r="AMD148"/>
      <c r="AME148"/>
      <c r="AMF148"/>
      <c r="AMG148"/>
      <c r="AMH148"/>
      <c r="AMI148"/>
      <c r="AMJ148"/>
    </row>
    <row r="149" spans="1:1024" s="122" customFormat="1">
      <c r="A149" s="133" t="s">
        <v>412</v>
      </c>
      <c r="B149" s="147" t="s">
        <v>866</v>
      </c>
      <c r="C149" s="133" t="s">
        <v>715</v>
      </c>
      <c r="D149" s="133">
        <v>25</v>
      </c>
      <c r="E149" s="133" t="s">
        <v>722</v>
      </c>
      <c r="F149" s="145">
        <v>25</v>
      </c>
      <c r="G149" s="128"/>
      <c r="H149" s="145" t="s">
        <v>717</v>
      </c>
      <c r="I149" s="137">
        <f t="shared" si="5"/>
        <v>7.4191363534161754</v>
      </c>
      <c r="J149" s="151">
        <v>107.76</v>
      </c>
      <c r="K149" s="151">
        <v>20.4517648377652</v>
      </c>
      <c r="L149" s="139" t="s">
        <v>738</v>
      </c>
      <c r="M149" s="121"/>
      <c r="N149" s="121"/>
      <c r="O149" s="121"/>
      <c r="P149" s="121"/>
      <c r="Q149" s="121"/>
      <c r="R149" s="121"/>
      <c r="S149" s="121"/>
      <c r="T149" s="121"/>
      <c r="U149" s="121"/>
      <c r="V149" s="121"/>
      <c r="W149" s="121"/>
      <c r="X149" s="121"/>
      <c r="Y149" s="121"/>
      <c r="Z149" s="121"/>
      <c r="AA149" s="121"/>
      <c r="AB149" s="121"/>
      <c r="AC149" s="121"/>
      <c r="AD149" s="121"/>
      <c r="AE149" s="121"/>
      <c r="AF149" s="121"/>
      <c r="AG149" s="121"/>
      <c r="AH149" s="121"/>
      <c r="AI149" s="121"/>
      <c r="AMD149"/>
      <c r="AME149"/>
      <c r="AMF149"/>
      <c r="AMG149"/>
      <c r="AMH149"/>
      <c r="AMI149"/>
      <c r="AMJ149"/>
    </row>
    <row r="150" spans="1:1024" s="122" customFormat="1">
      <c r="A150" s="133" t="s">
        <v>412</v>
      </c>
      <c r="B150" s="147" t="s">
        <v>867</v>
      </c>
      <c r="C150" s="133" t="s">
        <v>715</v>
      </c>
      <c r="D150" s="133">
        <v>120</v>
      </c>
      <c r="E150" s="133" t="s">
        <v>722</v>
      </c>
      <c r="F150" s="145">
        <v>136</v>
      </c>
      <c r="G150" s="128"/>
      <c r="H150" s="145" t="s">
        <v>717</v>
      </c>
      <c r="I150" s="137">
        <f t="shared" si="5"/>
        <v>40.360101762583994</v>
      </c>
      <c r="J150" s="150">
        <v>13.6368774261024</v>
      </c>
      <c r="K150" s="150">
        <v>5.8047017383452699</v>
      </c>
      <c r="L150" s="139" t="s">
        <v>738</v>
      </c>
      <c r="M150" s="121"/>
      <c r="N150" s="121"/>
      <c r="O150" s="121"/>
      <c r="P150" s="121"/>
      <c r="Q150" s="121"/>
      <c r="R150" s="121"/>
      <c r="S150" s="121"/>
      <c r="T150" s="121"/>
      <c r="U150" s="121"/>
      <c r="V150" s="121"/>
      <c r="W150" s="121"/>
      <c r="X150" s="121"/>
      <c r="Y150" s="121"/>
      <c r="Z150" s="121"/>
      <c r="AA150" s="121"/>
      <c r="AB150" s="121"/>
      <c r="AC150" s="121"/>
      <c r="AD150" s="121"/>
      <c r="AE150" s="121"/>
      <c r="AF150" s="121"/>
      <c r="AG150" s="121"/>
      <c r="AH150" s="121"/>
      <c r="AI150" s="121"/>
      <c r="AMD150"/>
      <c r="AME150"/>
      <c r="AMF150"/>
      <c r="AMG150"/>
      <c r="AMH150"/>
      <c r="AMI150"/>
      <c r="AMJ150"/>
    </row>
    <row r="151" spans="1:1024" s="122" customFormat="1">
      <c r="A151" s="133" t="s">
        <v>412</v>
      </c>
      <c r="B151" s="147" t="s">
        <v>868</v>
      </c>
      <c r="C151" s="133" t="s">
        <v>715</v>
      </c>
      <c r="D151" s="133">
        <v>80</v>
      </c>
      <c r="E151" s="133" t="s">
        <v>722</v>
      </c>
      <c r="F151" s="145">
        <v>137</v>
      </c>
      <c r="G151" s="128"/>
      <c r="H151" s="145" t="s">
        <v>717</v>
      </c>
      <c r="I151" s="137">
        <f t="shared" si="5"/>
        <v>40.656867216720642</v>
      </c>
      <c r="J151" s="151">
        <v>474.28750000000002</v>
      </c>
      <c r="K151" s="138">
        <v>141.899459600109</v>
      </c>
      <c r="L151" s="139" t="s">
        <v>738</v>
      </c>
      <c r="M151" s="121"/>
      <c r="N151" s="121"/>
      <c r="O151" s="121"/>
      <c r="P151" s="121"/>
      <c r="Q151" s="121"/>
      <c r="R151" s="121"/>
      <c r="S151" s="121"/>
      <c r="T151" s="121"/>
      <c r="U151" s="121"/>
      <c r="V151" s="121"/>
      <c r="W151" s="121"/>
      <c r="X151" s="121"/>
      <c r="Y151" s="121"/>
      <c r="Z151" s="121"/>
      <c r="AA151" s="121"/>
      <c r="AB151" s="121"/>
      <c r="AC151" s="121"/>
      <c r="AD151" s="121"/>
      <c r="AE151" s="121"/>
      <c r="AF151" s="121"/>
      <c r="AG151" s="121"/>
      <c r="AH151" s="121"/>
      <c r="AI151" s="121"/>
      <c r="AMD151"/>
      <c r="AME151"/>
      <c r="AMF151"/>
      <c r="AMG151"/>
      <c r="AMH151"/>
      <c r="AMI151"/>
      <c r="AMJ151"/>
    </row>
    <row r="152" spans="1:1024" s="122" customFormat="1">
      <c r="A152" s="133" t="s">
        <v>412</v>
      </c>
      <c r="B152" s="147" t="s">
        <v>869</v>
      </c>
      <c r="C152" s="133" t="s">
        <v>715</v>
      </c>
      <c r="D152" s="133">
        <v>25</v>
      </c>
      <c r="E152" s="133" t="s">
        <v>722</v>
      </c>
      <c r="F152" s="145">
        <v>25</v>
      </c>
      <c r="G152" s="128"/>
      <c r="H152" s="145" t="s">
        <v>717</v>
      </c>
      <c r="I152" s="137">
        <f t="shared" si="5"/>
        <v>7.4191363534161754</v>
      </c>
      <c r="J152" s="150">
        <v>177.96</v>
      </c>
      <c r="K152" s="143">
        <v>54.094950837819503</v>
      </c>
      <c r="L152" s="139" t="s">
        <v>710</v>
      </c>
      <c r="M152" s="121"/>
      <c r="N152" s="121"/>
      <c r="O152" s="121"/>
      <c r="P152" s="121"/>
      <c r="Q152" s="121"/>
      <c r="R152" s="121"/>
      <c r="S152" s="121"/>
      <c r="T152" s="121"/>
      <c r="U152" s="121"/>
      <c r="V152" s="121"/>
      <c r="W152" s="121"/>
      <c r="X152" s="121"/>
      <c r="Y152" s="121"/>
      <c r="Z152" s="121"/>
      <c r="AA152" s="121"/>
      <c r="AB152" s="121"/>
      <c r="AC152" s="121"/>
      <c r="AD152" s="121"/>
      <c r="AE152" s="121"/>
      <c r="AF152" s="121"/>
      <c r="AG152" s="121"/>
      <c r="AH152" s="121"/>
      <c r="AI152" s="121"/>
      <c r="AMD152"/>
      <c r="AME152"/>
      <c r="AMF152"/>
      <c r="AMG152"/>
      <c r="AMH152"/>
      <c r="AMI152"/>
      <c r="AMJ152"/>
    </row>
    <row r="153" spans="1:1024" s="122" customFormat="1" ht="25.5">
      <c r="A153" s="133" t="s">
        <v>412</v>
      </c>
      <c r="B153" s="147" t="s">
        <v>870</v>
      </c>
      <c r="C153" s="133" t="s">
        <v>737</v>
      </c>
      <c r="D153" s="133">
        <v>3000</v>
      </c>
      <c r="E153" s="133"/>
      <c r="F153" s="145">
        <v>3000</v>
      </c>
      <c r="G153" s="128"/>
      <c r="H153" s="145" t="s">
        <v>717</v>
      </c>
      <c r="I153" s="137">
        <f t="shared" si="5"/>
        <v>890.29636240994103</v>
      </c>
      <c r="J153" s="150">
        <v>22.686619966323299</v>
      </c>
      <c r="K153" s="143">
        <v>16.093563745943499</v>
      </c>
      <c r="L153" s="139" t="s">
        <v>738</v>
      </c>
      <c r="M153" s="121"/>
      <c r="N153" s="121"/>
      <c r="O153" s="121"/>
      <c r="P153" s="121"/>
      <c r="Q153" s="121"/>
      <c r="R153" s="121"/>
      <c r="S153" s="121"/>
      <c r="T153" s="121"/>
      <c r="U153" s="121"/>
      <c r="V153" s="121"/>
      <c r="W153" s="121"/>
      <c r="X153" s="121"/>
      <c r="Y153" s="121"/>
      <c r="Z153" s="121"/>
      <c r="AA153" s="121"/>
      <c r="AB153" s="121"/>
      <c r="AC153" s="121"/>
      <c r="AD153" s="121"/>
      <c r="AE153" s="121"/>
      <c r="AF153" s="121"/>
      <c r="AG153" s="121"/>
      <c r="AH153" s="121"/>
      <c r="AI153" s="121"/>
      <c r="AMD153"/>
      <c r="AME153"/>
      <c r="AMF153"/>
      <c r="AMG153"/>
      <c r="AMH153"/>
      <c r="AMI153"/>
      <c r="AMJ153"/>
    </row>
    <row r="154" spans="1:1024" s="122" customFormat="1" ht="30">
      <c r="A154" s="133" t="s">
        <v>412</v>
      </c>
      <c r="B154" s="147" t="s">
        <v>871</v>
      </c>
      <c r="C154" s="133" t="s">
        <v>737</v>
      </c>
      <c r="D154" s="133">
        <v>1500</v>
      </c>
      <c r="E154" s="133"/>
      <c r="F154" s="145">
        <v>1500</v>
      </c>
      <c r="G154" s="128"/>
      <c r="H154" s="145" t="s">
        <v>717</v>
      </c>
      <c r="I154" s="137">
        <f t="shared" si="5"/>
        <v>445.14818120497051</v>
      </c>
      <c r="J154" s="150">
        <v>28.79</v>
      </c>
      <c r="K154" s="150">
        <v>3317.17</v>
      </c>
      <c r="L154" s="139" t="s">
        <v>710</v>
      </c>
      <c r="M154" s="121"/>
      <c r="N154" s="121"/>
      <c r="O154" s="121"/>
      <c r="P154" s="121"/>
      <c r="Q154" s="121"/>
      <c r="R154" s="121"/>
      <c r="S154" s="121"/>
      <c r="T154" s="121"/>
      <c r="U154" s="121"/>
      <c r="V154" s="121"/>
      <c r="W154" s="121"/>
      <c r="X154" s="121"/>
      <c r="Y154" s="121"/>
      <c r="Z154" s="121"/>
      <c r="AA154" s="121"/>
      <c r="AB154" s="121"/>
      <c r="AC154" s="121"/>
      <c r="AD154" s="121"/>
      <c r="AE154" s="121"/>
      <c r="AF154" s="121"/>
      <c r="AG154" s="121"/>
      <c r="AH154" s="121"/>
      <c r="AI154" s="121"/>
      <c r="AMD154"/>
      <c r="AME154"/>
      <c r="AMF154"/>
      <c r="AMG154"/>
      <c r="AMH154"/>
      <c r="AMI154"/>
      <c r="AMJ154"/>
    </row>
    <row r="155" spans="1:1024" s="122" customFormat="1">
      <c r="A155" s="133" t="s">
        <v>412</v>
      </c>
      <c r="B155" s="147" t="s">
        <v>872</v>
      </c>
      <c r="C155" s="133" t="s">
        <v>737</v>
      </c>
      <c r="D155" s="133">
        <v>200</v>
      </c>
      <c r="E155" s="133"/>
      <c r="F155" s="145">
        <v>200</v>
      </c>
      <c r="G155" s="128"/>
      <c r="H155" s="145" t="s">
        <v>717</v>
      </c>
      <c r="I155" s="137">
        <f t="shared" si="5"/>
        <v>59.353090827329403</v>
      </c>
      <c r="J155" s="138">
        <v>558.02499999999998</v>
      </c>
      <c r="K155" s="138">
        <v>18477.999847613399</v>
      </c>
      <c r="L155" s="139" t="s">
        <v>710</v>
      </c>
      <c r="M155" s="121"/>
      <c r="N155" s="121"/>
      <c r="O155" s="121"/>
      <c r="P155" s="121"/>
      <c r="Q155" s="121"/>
      <c r="R155" s="121"/>
      <c r="S155" s="121"/>
      <c r="T155" s="121"/>
      <c r="U155" s="121"/>
      <c r="V155" s="121"/>
      <c r="W155" s="121"/>
      <c r="X155" s="121"/>
      <c r="Y155" s="121"/>
      <c r="Z155" s="121"/>
      <c r="AA155" s="121"/>
      <c r="AB155" s="121"/>
      <c r="AC155" s="121"/>
      <c r="AD155" s="121"/>
      <c r="AE155" s="121"/>
      <c r="AF155" s="121"/>
      <c r="AG155" s="121"/>
      <c r="AH155" s="121"/>
      <c r="AI155" s="121"/>
      <c r="AMD155"/>
      <c r="AME155"/>
      <c r="AMF155"/>
      <c r="AMG155"/>
      <c r="AMH155"/>
      <c r="AMI155"/>
      <c r="AMJ155"/>
    </row>
    <row r="156" spans="1:1024" s="122" customFormat="1">
      <c r="A156" s="133" t="s">
        <v>412</v>
      </c>
      <c r="B156" s="147" t="s">
        <v>873</v>
      </c>
      <c r="C156" s="133" t="s">
        <v>737</v>
      </c>
      <c r="D156" s="133">
        <v>300</v>
      </c>
      <c r="E156" s="133"/>
      <c r="F156" s="145">
        <v>300</v>
      </c>
      <c r="G156" s="128"/>
      <c r="H156" s="145" t="s">
        <v>717</v>
      </c>
      <c r="I156" s="137">
        <f t="shared" si="5"/>
        <v>89.029636240994108</v>
      </c>
      <c r="J156" s="138">
        <v>252.59</v>
      </c>
      <c r="K156" s="138">
        <v>9064.3728110853299</v>
      </c>
      <c r="L156" s="139" t="s">
        <v>710</v>
      </c>
      <c r="M156" s="121"/>
      <c r="N156" s="121"/>
      <c r="O156" s="121"/>
      <c r="P156" s="121"/>
      <c r="Q156" s="121"/>
      <c r="R156" s="121"/>
      <c r="S156" s="121"/>
      <c r="T156" s="121"/>
      <c r="U156" s="121"/>
      <c r="V156" s="121"/>
      <c r="W156" s="121"/>
      <c r="X156" s="121"/>
      <c r="Y156" s="121"/>
      <c r="Z156" s="121"/>
      <c r="AA156" s="121"/>
      <c r="AB156" s="121"/>
      <c r="AC156" s="121"/>
      <c r="AD156" s="121"/>
      <c r="AE156" s="121"/>
      <c r="AF156" s="121"/>
      <c r="AG156" s="121"/>
      <c r="AH156" s="121"/>
      <c r="AI156" s="121"/>
      <c r="AMD156"/>
      <c r="AME156"/>
      <c r="AMF156"/>
      <c r="AMG156"/>
      <c r="AMH156"/>
      <c r="AMI156"/>
      <c r="AMJ156"/>
    </row>
    <row r="157" spans="1:1024" s="122" customFormat="1">
      <c r="A157" s="133" t="s">
        <v>411</v>
      </c>
      <c r="B157" s="147" t="s">
        <v>874</v>
      </c>
      <c r="C157" s="133" t="s">
        <v>715</v>
      </c>
      <c r="D157" s="133" t="s">
        <v>716</v>
      </c>
      <c r="E157" s="133"/>
      <c r="F157" s="145">
        <v>5.8967008099999996</v>
      </c>
      <c r="G157" s="128"/>
      <c r="H157" s="145" t="s">
        <v>717</v>
      </c>
      <c r="I157" s="137">
        <f t="shared" si="5"/>
        <v>1.7499370937875842</v>
      </c>
      <c r="J157" s="138">
        <v>119.388794290888</v>
      </c>
      <c r="K157" s="138">
        <v>15.8492003646768</v>
      </c>
      <c r="L157" s="139" t="s">
        <v>710</v>
      </c>
      <c r="M157" s="121"/>
      <c r="N157" s="121"/>
      <c r="O157" s="121"/>
      <c r="P157" s="121"/>
      <c r="Q157" s="121"/>
      <c r="R157" s="121"/>
      <c r="S157" s="121"/>
      <c r="T157" s="121"/>
      <c r="U157" s="121"/>
      <c r="V157" s="121"/>
      <c r="W157" s="121"/>
      <c r="X157" s="121"/>
      <c r="Y157" s="121"/>
      <c r="Z157" s="121"/>
      <c r="AA157" s="121"/>
      <c r="AB157" s="121"/>
      <c r="AC157" s="121"/>
      <c r="AD157" s="121"/>
      <c r="AE157" s="121"/>
      <c r="AF157" s="121"/>
      <c r="AG157" s="121"/>
      <c r="AH157" s="121"/>
      <c r="AI157" s="121"/>
      <c r="AMD157"/>
      <c r="AME157"/>
      <c r="AMF157"/>
      <c r="AMG157"/>
      <c r="AMH157"/>
      <c r="AMI157"/>
      <c r="AMJ157"/>
    </row>
    <row r="158" spans="1:1024" s="122" customFormat="1">
      <c r="A158" s="133" t="s">
        <v>411</v>
      </c>
      <c r="B158" s="147" t="s">
        <v>875</v>
      </c>
      <c r="C158" s="133" t="s">
        <v>715</v>
      </c>
      <c r="D158" s="133" t="s">
        <v>716</v>
      </c>
      <c r="E158" s="133"/>
      <c r="F158" s="145">
        <v>11.793401619999999</v>
      </c>
      <c r="G158" s="128"/>
      <c r="H158" s="145" t="s">
        <v>717</v>
      </c>
      <c r="I158" s="137">
        <f t="shared" si="5"/>
        <v>3.4998741875751684</v>
      </c>
      <c r="J158" s="138">
        <v>90.6</v>
      </c>
      <c r="K158" s="138">
        <v>11.0335416393059</v>
      </c>
      <c r="L158" s="139" t="s">
        <v>710</v>
      </c>
      <c r="M158" s="121"/>
      <c r="N158" s="121"/>
      <c r="O158" s="121"/>
      <c r="P158" s="121"/>
      <c r="Q158" s="121"/>
      <c r="R158" s="121"/>
      <c r="S158" s="121"/>
      <c r="T158" s="121"/>
      <c r="U158" s="121"/>
      <c r="V158" s="121"/>
      <c r="W158" s="121"/>
      <c r="X158" s="121"/>
      <c r="Y158" s="121"/>
      <c r="Z158" s="121"/>
      <c r="AA158" s="121"/>
      <c r="AB158" s="121"/>
      <c r="AC158" s="121"/>
      <c r="AD158" s="121"/>
      <c r="AE158" s="121"/>
      <c r="AF158" s="121"/>
      <c r="AG158" s="121"/>
      <c r="AH158" s="121"/>
      <c r="AI158" s="121"/>
      <c r="AMD158"/>
      <c r="AME158"/>
      <c r="AMF158"/>
      <c r="AMG158"/>
      <c r="AMH158"/>
      <c r="AMI158"/>
      <c r="AMJ158"/>
    </row>
    <row r="159" spans="1:1024" s="122" customFormat="1">
      <c r="A159" s="133" t="s">
        <v>411</v>
      </c>
      <c r="B159" s="147" t="s">
        <v>876</v>
      </c>
      <c r="C159" s="133" t="s">
        <v>715</v>
      </c>
      <c r="D159" s="133" t="s">
        <v>716</v>
      </c>
      <c r="E159" s="133"/>
      <c r="F159" s="145">
        <v>5.2163122550000001</v>
      </c>
      <c r="G159" s="128"/>
      <c r="H159" s="145" t="s">
        <v>717</v>
      </c>
      <c r="I159" s="137">
        <f t="shared" si="5"/>
        <v>1.5480212752736322</v>
      </c>
      <c r="J159" s="138">
        <v>121.54180367409801</v>
      </c>
      <c r="K159" s="138">
        <v>13.764184429772101</v>
      </c>
      <c r="L159" s="139" t="s">
        <v>710</v>
      </c>
      <c r="M159" s="121"/>
      <c r="N159" s="121"/>
      <c r="O159" s="121"/>
      <c r="P159" s="121"/>
      <c r="Q159" s="121"/>
      <c r="R159" s="121"/>
      <c r="S159" s="121"/>
      <c r="T159" s="121"/>
      <c r="U159" s="121"/>
      <c r="V159" s="121"/>
      <c r="W159" s="121"/>
      <c r="X159" s="121"/>
      <c r="Y159" s="121"/>
      <c r="Z159" s="121"/>
      <c r="AA159" s="121"/>
      <c r="AB159" s="121"/>
      <c r="AC159" s="121"/>
      <c r="AD159" s="121"/>
      <c r="AE159" s="121"/>
      <c r="AF159" s="121"/>
      <c r="AG159" s="121"/>
      <c r="AH159" s="121"/>
      <c r="AI159" s="121"/>
      <c r="AMD159"/>
      <c r="AME159"/>
      <c r="AMF159"/>
      <c r="AMG159"/>
      <c r="AMH159"/>
      <c r="AMI159"/>
      <c r="AMJ159"/>
    </row>
    <row r="160" spans="1:1024" s="122" customFormat="1">
      <c r="A160" s="133" t="s">
        <v>411</v>
      </c>
      <c r="B160" s="147" t="s">
        <v>877</v>
      </c>
      <c r="C160" s="133" t="s">
        <v>715</v>
      </c>
      <c r="D160" s="133"/>
      <c r="E160" s="133" t="s">
        <v>722</v>
      </c>
      <c r="F160" s="145">
        <v>49.895160699999998</v>
      </c>
      <c r="G160" s="128"/>
      <c r="H160" s="145" t="s">
        <v>717</v>
      </c>
      <c r="I160" s="137">
        <f t="shared" si="5"/>
        <v>14.807160024356483</v>
      </c>
      <c r="J160" s="138">
        <v>10.762566799389001</v>
      </c>
      <c r="K160" s="138">
        <v>6.4825766990444302</v>
      </c>
      <c r="L160" s="139" t="s">
        <v>710</v>
      </c>
      <c r="M160" s="121"/>
      <c r="N160" s="121"/>
      <c r="O160" s="121"/>
      <c r="P160" s="121"/>
      <c r="Q160" s="121"/>
      <c r="R160" s="121"/>
      <c r="S160" s="121"/>
      <c r="T160" s="121"/>
      <c r="U160" s="121"/>
      <c r="V160" s="121"/>
      <c r="W160" s="121"/>
      <c r="X160" s="121"/>
      <c r="Y160" s="121"/>
      <c r="Z160" s="121"/>
      <c r="AA160" s="121"/>
      <c r="AB160" s="121"/>
      <c r="AC160" s="121"/>
      <c r="AD160" s="121"/>
      <c r="AE160" s="121"/>
      <c r="AF160" s="121"/>
      <c r="AG160" s="121"/>
      <c r="AH160" s="121"/>
      <c r="AI160" s="121"/>
      <c r="AMD160"/>
      <c r="AME160"/>
      <c r="AMF160"/>
      <c r="AMG160"/>
      <c r="AMH160"/>
      <c r="AMI160"/>
      <c r="AMJ160"/>
    </row>
    <row r="161" spans="1:1024" s="122" customFormat="1">
      <c r="A161" s="133" t="s">
        <v>411</v>
      </c>
      <c r="B161" s="147" t="s">
        <v>878</v>
      </c>
      <c r="C161" s="133" t="s">
        <v>715</v>
      </c>
      <c r="D161" s="133"/>
      <c r="E161" s="133" t="s">
        <v>722</v>
      </c>
      <c r="F161" s="145">
        <v>20.86524902</v>
      </c>
      <c r="G161" s="128"/>
      <c r="H161" s="145" t="s">
        <v>717</v>
      </c>
      <c r="I161" s="137">
        <f t="shared" si="5"/>
        <v>6.1920851010945288</v>
      </c>
      <c r="J161" s="138">
        <v>4.8885110310559803</v>
      </c>
      <c r="K161" s="138">
        <v>6.4825766990444196</v>
      </c>
      <c r="L161" s="139" t="s">
        <v>710</v>
      </c>
      <c r="M161" s="121"/>
      <c r="N161" s="121"/>
      <c r="O161" s="121"/>
      <c r="P161" s="121"/>
      <c r="Q161" s="121"/>
      <c r="R161" s="121"/>
      <c r="S161" s="121"/>
      <c r="T161" s="121"/>
      <c r="U161" s="121"/>
      <c r="V161" s="121"/>
      <c r="W161" s="121"/>
      <c r="X161" s="121"/>
      <c r="Y161" s="121"/>
      <c r="Z161" s="121"/>
      <c r="AA161" s="121"/>
      <c r="AB161" s="121"/>
      <c r="AC161" s="121"/>
      <c r="AD161" s="121"/>
      <c r="AE161" s="121"/>
      <c r="AF161" s="121"/>
      <c r="AG161" s="121"/>
      <c r="AH161" s="121"/>
      <c r="AI161" s="121"/>
      <c r="AMD161"/>
      <c r="AME161"/>
      <c r="AMF161"/>
      <c r="AMG161"/>
      <c r="AMH161"/>
      <c r="AMI161"/>
      <c r="AMJ161"/>
    </row>
    <row r="162" spans="1:1024" s="122" customFormat="1" ht="25.5">
      <c r="A162" s="133" t="s">
        <v>412</v>
      </c>
      <c r="B162" s="147" t="s">
        <v>879</v>
      </c>
      <c r="C162" s="133" t="s">
        <v>715</v>
      </c>
      <c r="D162" s="133"/>
      <c r="E162" s="133" t="s">
        <v>722</v>
      </c>
      <c r="F162" s="145">
        <v>1800</v>
      </c>
      <c r="G162" s="128"/>
      <c r="H162" s="145" t="s">
        <v>717</v>
      </c>
      <c r="I162" s="137">
        <f t="shared" si="5"/>
        <v>534.17781744596459</v>
      </c>
      <c r="J162" s="138">
        <v>20.531189328685802</v>
      </c>
      <c r="K162" s="138">
        <v>9.8052867626001401</v>
      </c>
      <c r="L162" s="139" t="s">
        <v>738</v>
      </c>
      <c r="M162" s="121"/>
      <c r="N162" s="121"/>
      <c r="O162" s="121"/>
      <c r="P162" s="121"/>
      <c r="Q162" s="121"/>
      <c r="R162" s="121"/>
      <c r="S162" s="121"/>
      <c r="T162" s="121"/>
      <c r="U162" s="121"/>
      <c r="V162" s="121"/>
      <c r="W162" s="121"/>
      <c r="X162" s="121"/>
      <c r="Y162" s="121"/>
      <c r="Z162" s="121"/>
      <c r="AA162" s="121"/>
      <c r="AB162" s="121"/>
      <c r="AC162" s="121"/>
      <c r="AD162" s="121"/>
      <c r="AE162" s="121"/>
      <c r="AF162" s="121"/>
      <c r="AG162" s="121"/>
      <c r="AH162" s="121"/>
      <c r="AI162" s="121"/>
      <c r="AMD162"/>
      <c r="AME162"/>
      <c r="AMF162"/>
      <c r="AMG162"/>
      <c r="AMH162"/>
      <c r="AMI162"/>
      <c r="AMJ162"/>
    </row>
    <row r="163" spans="1:1024" s="122" customFormat="1" ht="50.1" customHeight="1">
      <c r="A163" s="133" t="s">
        <v>412</v>
      </c>
      <c r="B163" s="147" t="s">
        <v>880</v>
      </c>
      <c r="C163" s="133" t="s">
        <v>715</v>
      </c>
      <c r="D163" s="133"/>
      <c r="E163" s="133" t="s">
        <v>722</v>
      </c>
      <c r="F163" s="145">
        <v>280</v>
      </c>
      <c r="G163" s="128"/>
      <c r="H163" s="145" t="s">
        <v>717</v>
      </c>
      <c r="I163" s="137">
        <f t="shared" si="5"/>
        <v>83.094327158261166</v>
      </c>
      <c r="J163" s="138">
        <v>476.78571428571399</v>
      </c>
      <c r="K163" s="138">
        <v>192.197530746615</v>
      </c>
      <c r="L163" s="139" t="s">
        <v>738</v>
      </c>
      <c r="M163" s="121"/>
      <c r="N163" s="121"/>
      <c r="O163" s="121"/>
      <c r="P163" s="121"/>
      <c r="Q163" s="121"/>
      <c r="R163" s="121"/>
      <c r="S163" s="121"/>
      <c r="T163" s="121"/>
      <c r="U163" s="121"/>
      <c r="V163" s="121"/>
      <c r="W163" s="121"/>
      <c r="X163" s="121"/>
      <c r="Y163" s="121"/>
      <c r="Z163" s="121"/>
      <c r="AA163" s="121"/>
      <c r="AB163" s="121"/>
      <c r="AC163" s="121"/>
      <c r="AD163" s="121"/>
      <c r="AE163" s="121"/>
      <c r="AF163" s="121"/>
      <c r="AG163" s="121"/>
      <c r="AH163" s="121"/>
      <c r="AI163" s="121"/>
      <c r="AMD163"/>
      <c r="AME163"/>
      <c r="AMF163"/>
      <c r="AMG163"/>
      <c r="AMH163"/>
      <c r="AMI163"/>
      <c r="AMJ163"/>
    </row>
    <row r="164" spans="1:1024" s="122" customFormat="1">
      <c r="A164" s="133" t="s">
        <v>411</v>
      </c>
      <c r="B164" s="147" t="s">
        <v>881</v>
      </c>
      <c r="C164" s="133" t="s">
        <v>732</v>
      </c>
      <c r="D164" s="88"/>
      <c r="E164" s="145" t="s">
        <v>722</v>
      </c>
      <c r="F164" s="145">
        <v>2.7215542199999998</v>
      </c>
      <c r="G164" s="128"/>
      <c r="H164" s="145" t="s">
        <v>717</v>
      </c>
      <c r="I164" s="137">
        <f t="shared" si="5"/>
        <v>0.80766327405580807</v>
      </c>
      <c r="J164" s="138">
        <v>1.15585845966071</v>
      </c>
      <c r="K164" s="138"/>
      <c r="L164" s="139" t="s">
        <v>710</v>
      </c>
      <c r="M164" s="121"/>
      <c r="N164" s="121"/>
      <c r="O164" s="121"/>
      <c r="P164" s="121"/>
      <c r="Q164" s="121"/>
      <c r="R164" s="121"/>
      <c r="S164" s="121"/>
      <c r="T164" s="121"/>
      <c r="U164" s="121"/>
      <c r="V164" s="121"/>
      <c r="W164" s="121"/>
      <c r="X164" s="121"/>
      <c r="Y164" s="121"/>
      <c r="Z164" s="121"/>
      <c r="AA164" s="121"/>
      <c r="AB164" s="121"/>
      <c r="AC164" s="121"/>
      <c r="AD164" s="121"/>
      <c r="AE164" s="121"/>
      <c r="AF164" s="121"/>
      <c r="AG164" s="121"/>
      <c r="AH164" s="121"/>
      <c r="AI164" s="121"/>
      <c r="AMD164"/>
      <c r="AME164"/>
      <c r="AMF164"/>
      <c r="AMG164"/>
      <c r="AMH164"/>
      <c r="AMI164"/>
      <c r="AMJ164"/>
    </row>
    <row r="165" spans="1:1024" s="122" customFormat="1" ht="43.35" customHeight="1">
      <c r="A165" s="133" t="s">
        <v>412</v>
      </c>
      <c r="B165" s="147" t="s">
        <v>882</v>
      </c>
      <c r="C165" s="133" t="s">
        <v>737</v>
      </c>
      <c r="D165" s="147"/>
      <c r="E165" s="145" t="s">
        <v>722</v>
      </c>
      <c r="F165" s="145">
        <v>0</v>
      </c>
      <c r="G165" s="128"/>
      <c r="H165" s="145" t="s">
        <v>717</v>
      </c>
      <c r="I165" s="137">
        <f t="shared" si="5"/>
        <v>0</v>
      </c>
      <c r="J165" s="150">
        <v>20.531189328685802</v>
      </c>
      <c r="K165" s="150">
        <v>12.432641200595899</v>
      </c>
      <c r="L165" s="139" t="s">
        <v>738</v>
      </c>
      <c r="M165" s="121"/>
      <c r="N165" s="121"/>
      <c r="O165" s="121"/>
      <c r="P165" s="121"/>
      <c r="Q165" s="121"/>
      <c r="R165" s="121"/>
      <c r="S165" s="121"/>
      <c r="T165" s="121"/>
      <c r="U165" s="121"/>
      <c r="V165" s="121"/>
      <c r="W165" s="121"/>
      <c r="X165" s="121"/>
      <c r="Y165" s="121"/>
      <c r="Z165" s="121"/>
      <c r="AA165" s="121"/>
      <c r="AB165" s="121"/>
      <c r="AC165" s="121"/>
      <c r="AD165" s="121"/>
      <c r="AE165" s="121"/>
      <c r="AF165" s="121"/>
      <c r="AG165" s="121"/>
      <c r="AH165" s="121"/>
      <c r="AI165" s="121"/>
      <c r="AMD165"/>
      <c r="AME165"/>
      <c r="AMF165"/>
      <c r="AMG165"/>
      <c r="AMH165"/>
      <c r="AMI165"/>
      <c r="AMJ165"/>
    </row>
    <row r="166" spans="1:1024" s="122" customFormat="1" ht="49.35" customHeight="1">
      <c r="A166" s="133" t="s">
        <v>412</v>
      </c>
      <c r="B166" s="147" t="s">
        <v>883</v>
      </c>
      <c r="C166" s="133" t="s">
        <v>715</v>
      </c>
      <c r="D166" s="147"/>
      <c r="E166" s="145" t="s">
        <v>722</v>
      </c>
      <c r="F166" s="145">
        <v>280</v>
      </c>
      <c r="G166" s="128"/>
      <c r="H166" s="145" t="s">
        <v>717</v>
      </c>
      <c r="I166" s="137">
        <f t="shared" si="5"/>
        <v>83.094327158261166</v>
      </c>
      <c r="J166" s="138">
        <v>119.360714285714</v>
      </c>
      <c r="K166" s="138">
        <v>46.176542454106702</v>
      </c>
      <c r="L166" s="139" t="s">
        <v>738</v>
      </c>
      <c r="M166" s="121"/>
      <c r="N166" s="121"/>
      <c r="O166" s="121"/>
      <c r="P166" s="121"/>
      <c r="Q166" s="121"/>
      <c r="R166" s="121"/>
      <c r="S166" s="121"/>
      <c r="T166" s="121"/>
      <c r="U166" s="121"/>
      <c r="V166" s="121"/>
      <c r="W166" s="121"/>
      <c r="X166" s="121"/>
      <c r="Y166" s="121"/>
      <c r="Z166" s="121"/>
      <c r="AA166" s="121"/>
      <c r="AB166" s="121"/>
      <c r="AC166" s="121"/>
      <c r="AD166" s="121"/>
      <c r="AE166" s="121"/>
      <c r="AF166" s="121"/>
      <c r="AG166" s="121"/>
      <c r="AH166" s="121"/>
      <c r="AI166" s="121"/>
      <c r="AMD166"/>
      <c r="AME166"/>
      <c r="AMF166"/>
      <c r="AMG166"/>
      <c r="AMH166"/>
      <c r="AMI166"/>
      <c r="AMJ166"/>
    </row>
    <row r="167" spans="1:1024" s="122" customFormat="1">
      <c r="A167" s="133" t="s">
        <v>884</v>
      </c>
      <c r="B167" s="147" t="s">
        <v>885</v>
      </c>
      <c r="C167" s="133" t="s">
        <v>715</v>
      </c>
      <c r="D167" s="147"/>
      <c r="E167" s="133" t="s">
        <v>886</v>
      </c>
      <c r="F167" s="152">
        <f>'Modelo Potencia de bombeo'!G6</f>
        <v>6454.7945205479446</v>
      </c>
      <c r="G167" s="128"/>
      <c r="H167" s="145" t="s">
        <v>717</v>
      </c>
      <c r="I167" s="137">
        <f t="shared" si="5"/>
        <v>6454.7945205479446</v>
      </c>
      <c r="J167" s="138"/>
      <c r="K167" s="138">
        <v>9.59</v>
      </c>
      <c r="L167" s="139" t="s">
        <v>710</v>
      </c>
      <c r="M167" s="121"/>
      <c r="N167" s="121"/>
      <c r="O167" s="121"/>
      <c r="P167" s="121"/>
      <c r="Q167" s="121"/>
      <c r="R167" s="121"/>
      <c r="S167" s="121"/>
      <c r="T167" s="121"/>
      <c r="U167" s="121"/>
      <c r="V167" s="121"/>
      <c r="W167" s="121"/>
      <c r="X167" s="121"/>
      <c r="Y167" s="121"/>
      <c r="Z167" s="121"/>
      <c r="AA167" s="121"/>
      <c r="AB167" s="121"/>
      <c r="AC167" s="121"/>
      <c r="AD167" s="121"/>
      <c r="AE167" s="121"/>
      <c r="AF167" s="121"/>
      <c r="AG167" s="121"/>
      <c r="AH167" s="121"/>
      <c r="AI167" s="121"/>
      <c r="AMD167"/>
      <c r="AME167"/>
      <c r="AMF167"/>
      <c r="AMG167"/>
      <c r="AMH167"/>
      <c r="AMI167"/>
      <c r="AMJ167"/>
    </row>
    <row r="168" spans="1:1024" s="122" customFormat="1">
      <c r="A168" s="133" t="s">
        <v>411</v>
      </c>
      <c r="B168" s="134" t="s">
        <v>887</v>
      </c>
      <c r="C168" s="135" t="s">
        <v>737</v>
      </c>
      <c r="D168" s="135"/>
      <c r="E168" s="135"/>
      <c r="F168" s="140">
        <v>2041</v>
      </c>
      <c r="G168" s="128"/>
      <c r="H168" s="145" t="s">
        <v>717</v>
      </c>
      <c r="I168" s="137">
        <f t="shared" si="5"/>
        <v>605.69829189289658</v>
      </c>
      <c r="J168" s="138">
        <v>13.986236977487099</v>
      </c>
      <c r="K168" s="138"/>
      <c r="L168" s="139" t="s">
        <v>738</v>
      </c>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1"/>
      <c r="AMD168"/>
      <c r="AME168"/>
      <c r="AMF168"/>
      <c r="AMG168"/>
      <c r="AMH168"/>
      <c r="AMI168"/>
      <c r="AMJ168"/>
    </row>
    <row r="169" spans="1:1024" s="122" customFormat="1">
      <c r="A169" s="133" t="s">
        <v>884</v>
      </c>
      <c r="B169" s="147" t="s">
        <v>888</v>
      </c>
      <c r="C169" s="133" t="s">
        <v>715</v>
      </c>
      <c r="D169" s="147"/>
      <c r="E169" s="133" t="s">
        <v>889</v>
      </c>
      <c r="F169" s="152">
        <f>'Modelo Potencia de bombeo'!G7</f>
        <v>30573.238636363636</v>
      </c>
      <c r="G169" s="128"/>
      <c r="H169" s="133" t="s">
        <v>717</v>
      </c>
      <c r="I169" s="137">
        <f t="shared" si="5"/>
        <v>30573.238636363636</v>
      </c>
      <c r="J169" s="138"/>
      <c r="K169" s="138">
        <v>14.08</v>
      </c>
      <c r="L169" s="139" t="s">
        <v>710</v>
      </c>
      <c r="M169" s="121"/>
      <c r="N169" s="121"/>
      <c r="O169" s="121"/>
      <c r="P169" s="121"/>
      <c r="Q169" s="121"/>
      <c r="R169" s="121"/>
      <c r="S169" s="121"/>
      <c r="T169" s="121"/>
      <c r="U169" s="121"/>
      <c r="V169" s="121"/>
      <c r="W169" s="121"/>
      <c r="X169" s="121"/>
      <c r="Y169" s="121"/>
      <c r="Z169" s="121"/>
      <c r="AA169" s="121"/>
      <c r="AB169" s="121"/>
      <c r="AC169" s="121"/>
      <c r="AD169" s="121"/>
      <c r="AE169" s="121"/>
      <c r="AF169" s="121"/>
      <c r="AG169" s="121"/>
      <c r="AH169" s="121"/>
      <c r="AI169" s="121"/>
      <c r="AMD169"/>
      <c r="AME169"/>
      <c r="AMF169"/>
      <c r="AMG169"/>
      <c r="AMH169"/>
      <c r="AMI169"/>
      <c r="AMJ169"/>
    </row>
    <row r="170" spans="1:1024" s="122" customFormat="1">
      <c r="A170" s="133" t="s">
        <v>411</v>
      </c>
      <c r="B170" s="147" t="s">
        <v>890</v>
      </c>
      <c r="C170" s="135" t="s">
        <v>737</v>
      </c>
      <c r="D170" s="135"/>
      <c r="E170" s="135"/>
      <c r="F170" s="135">
        <v>2026</v>
      </c>
      <c r="G170" s="128"/>
      <c r="H170" s="135" t="s">
        <v>717</v>
      </c>
      <c r="I170" s="137">
        <f t="shared" si="5"/>
        <v>601.2468100808469</v>
      </c>
      <c r="J170" s="138">
        <v>13.986236977487099</v>
      </c>
      <c r="K170" s="138"/>
      <c r="L170" s="139" t="s">
        <v>738</v>
      </c>
      <c r="M170" s="121"/>
      <c r="N170" s="121"/>
      <c r="O170" s="121"/>
      <c r="P170" s="121"/>
      <c r="Q170" s="121"/>
      <c r="R170" s="121"/>
      <c r="S170" s="121"/>
      <c r="T170" s="121"/>
      <c r="U170" s="121"/>
      <c r="V170" s="121"/>
      <c r="W170" s="121"/>
      <c r="X170" s="121"/>
      <c r="Y170" s="121"/>
      <c r="Z170" s="121"/>
      <c r="AA170" s="121"/>
      <c r="AB170" s="121"/>
      <c r="AC170" s="121"/>
      <c r="AD170" s="121"/>
      <c r="AE170" s="121"/>
      <c r="AF170" s="121"/>
      <c r="AG170" s="121"/>
      <c r="AH170" s="121"/>
      <c r="AI170" s="121"/>
      <c r="AMD170"/>
      <c r="AME170"/>
      <c r="AMF170"/>
      <c r="AMG170"/>
      <c r="AMH170"/>
      <c r="AMI170"/>
      <c r="AMJ170"/>
    </row>
    <row r="171" spans="1:1024" s="122" customFormat="1" ht="25.5">
      <c r="A171" s="133" t="s">
        <v>412</v>
      </c>
      <c r="B171" s="147" t="s">
        <v>891</v>
      </c>
      <c r="C171" s="133" t="s">
        <v>715</v>
      </c>
      <c r="D171" s="133"/>
      <c r="E171" s="133" t="s">
        <v>722</v>
      </c>
      <c r="F171" s="133">
        <v>280</v>
      </c>
      <c r="G171" s="128"/>
      <c r="H171" s="133" t="s">
        <v>717</v>
      </c>
      <c r="I171" s="137">
        <f t="shared" si="5"/>
        <v>83.094327158261166</v>
      </c>
      <c r="J171" s="138">
        <v>535.86428571428598</v>
      </c>
      <c r="K171" s="138">
        <v>195.151459318044</v>
      </c>
      <c r="L171" s="139" t="s">
        <v>710</v>
      </c>
      <c r="M171" s="121"/>
      <c r="N171" s="121"/>
      <c r="O171" s="121"/>
      <c r="P171" s="121"/>
      <c r="Q171" s="121"/>
      <c r="R171" s="121"/>
      <c r="S171" s="121"/>
      <c r="T171" s="121"/>
      <c r="U171" s="121"/>
      <c r="V171" s="121"/>
      <c r="W171" s="121"/>
      <c r="X171" s="121"/>
      <c r="Y171" s="121"/>
      <c r="Z171" s="121"/>
      <c r="AA171" s="121"/>
      <c r="AB171" s="121"/>
      <c r="AC171" s="121"/>
      <c r="AD171" s="121"/>
      <c r="AE171" s="121"/>
      <c r="AF171" s="121"/>
      <c r="AG171" s="121"/>
      <c r="AH171" s="121"/>
      <c r="AI171" s="121"/>
      <c r="AMD171"/>
      <c r="AME171"/>
      <c r="AMF171"/>
      <c r="AMG171"/>
      <c r="AMH171"/>
      <c r="AMI171"/>
      <c r="AMJ171"/>
    </row>
    <row r="172" spans="1:1024" s="122" customFormat="1">
      <c r="A172" s="133" t="s">
        <v>411</v>
      </c>
      <c r="B172" s="153" t="s">
        <v>892</v>
      </c>
      <c r="C172" s="154" t="s">
        <v>737</v>
      </c>
      <c r="D172" s="154"/>
      <c r="E172" s="154"/>
      <c r="F172" s="140">
        <v>2753.5315365663</v>
      </c>
      <c r="G172" s="128"/>
      <c r="H172" s="145" t="s">
        <v>717</v>
      </c>
      <c r="I172" s="137">
        <f t="shared" si="5"/>
        <v>817.15303692867747</v>
      </c>
      <c r="J172" s="138">
        <v>13.986236977487099</v>
      </c>
      <c r="K172" s="138"/>
      <c r="L172" s="139" t="s">
        <v>738</v>
      </c>
      <c r="M172" s="121"/>
      <c r="N172" s="121"/>
      <c r="O172" s="121"/>
      <c r="P172" s="121"/>
      <c r="Q172" s="121"/>
      <c r="R172" s="121"/>
      <c r="S172" s="121"/>
      <c r="T172" s="121"/>
      <c r="U172" s="121"/>
      <c r="V172" s="121"/>
      <c r="W172" s="121"/>
      <c r="X172" s="121"/>
      <c r="Y172" s="121"/>
      <c r="Z172" s="121"/>
      <c r="AA172" s="121"/>
      <c r="AB172" s="121"/>
      <c r="AC172" s="121"/>
      <c r="AD172" s="121"/>
      <c r="AE172" s="121"/>
      <c r="AF172" s="121"/>
      <c r="AG172" s="121"/>
      <c r="AH172" s="121"/>
      <c r="AI172" s="121"/>
      <c r="AMD172"/>
      <c r="AME172"/>
      <c r="AMF172"/>
      <c r="AMG172"/>
      <c r="AMH172"/>
      <c r="AMI172"/>
      <c r="AMJ172"/>
    </row>
    <row r="173" spans="1:1024" s="122" customFormat="1">
      <c r="A173" s="133" t="s">
        <v>411</v>
      </c>
      <c r="B173" s="147" t="s">
        <v>893</v>
      </c>
      <c r="C173" s="154" t="s">
        <v>737</v>
      </c>
      <c r="D173" s="154"/>
      <c r="E173" s="154"/>
      <c r="F173" s="145">
        <v>2753.5315365663</v>
      </c>
      <c r="G173" s="128"/>
      <c r="H173" s="145" t="s">
        <v>717</v>
      </c>
      <c r="I173" s="137">
        <f t="shared" si="5"/>
        <v>817.15303692867747</v>
      </c>
      <c r="J173" s="138">
        <v>13.986236977487099</v>
      </c>
      <c r="K173" s="138"/>
      <c r="L173" s="139" t="s">
        <v>738</v>
      </c>
      <c r="M173" s="121"/>
      <c r="N173" s="121"/>
      <c r="O173" s="121"/>
      <c r="P173" s="121"/>
      <c r="Q173" s="121"/>
      <c r="R173" s="121"/>
      <c r="S173" s="121"/>
      <c r="T173" s="121"/>
      <c r="U173" s="121"/>
      <c r="V173" s="121"/>
      <c r="W173" s="121"/>
      <c r="X173" s="121"/>
      <c r="Y173" s="121"/>
      <c r="Z173" s="121"/>
      <c r="AA173" s="121"/>
      <c r="AB173" s="121"/>
      <c r="AC173" s="121"/>
      <c r="AD173" s="121"/>
      <c r="AE173" s="121"/>
      <c r="AF173" s="121"/>
      <c r="AG173" s="121"/>
      <c r="AH173" s="121"/>
      <c r="AI173" s="121"/>
      <c r="AMD173"/>
      <c r="AME173"/>
      <c r="AMF173"/>
      <c r="AMG173"/>
      <c r="AMH173"/>
      <c r="AMI173"/>
      <c r="AMJ173"/>
    </row>
    <row r="174" spans="1:1024" s="122" customFormat="1">
      <c r="A174" s="133" t="s">
        <v>411</v>
      </c>
      <c r="B174" s="147" t="s">
        <v>894</v>
      </c>
      <c r="C174" s="139" t="s">
        <v>715</v>
      </c>
      <c r="D174" s="139">
        <v>0</v>
      </c>
      <c r="E174" s="139">
        <v>0</v>
      </c>
      <c r="F174" s="145">
        <v>50</v>
      </c>
      <c r="G174" s="128"/>
      <c r="H174" s="145" t="s">
        <v>717</v>
      </c>
      <c r="I174" s="137">
        <f t="shared" si="5"/>
        <v>14.838272706832351</v>
      </c>
      <c r="J174" s="138">
        <v>112.93</v>
      </c>
      <c r="K174" s="138">
        <v>112.93</v>
      </c>
      <c r="L174" s="139" t="s">
        <v>710</v>
      </c>
      <c r="M174" s="121"/>
      <c r="N174" s="121"/>
      <c r="O174" s="121"/>
      <c r="P174" s="121"/>
      <c r="Q174" s="121"/>
      <c r="R174" s="121"/>
      <c r="S174" s="121"/>
      <c r="T174" s="121"/>
      <c r="U174" s="121"/>
      <c r="V174" s="121"/>
      <c r="W174" s="121"/>
      <c r="X174" s="121"/>
      <c r="Y174" s="121"/>
      <c r="Z174" s="121"/>
      <c r="AA174" s="121"/>
      <c r="AB174" s="121"/>
      <c r="AC174" s="121"/>
      <c r="AD174" s="121"/>
      <c r="AE174" s="121"/>
      <c r="AF174" s="121"/>
      <c r="AG174" s="121"/>
      <c r="AH174" s="121"/>
      <c r="AI174" s="121"/>
      <c r="AMD174"/>
      <c r="AME174"/>
      <c r="AMF174"/>
      <c r="AMG174"/>
      <c r="AMH174"/>
      <c r="AMI174"/>
      <c r="AMJ174"/>
    </row>
    <row r="175" spans="1:1024" s="122" customFormat="1">
      <c r="A175" s="133" t="s">
        <v>411</v>
      </c>
      <c r="B175" s="147" t="s">
        <v>895</v>
      </c>
      <c r="C175" s="133" t="s">
        <v>715</v>
      </c>
      <c r="D175" s="154"/>
      <c r="E175" s="133" t="s">
        <v>722</v>
      </c>
      <c r="F175" s="145">
        <v>120</v>
      </c>
      <c r="G175" s="128"/>
      <c r="H175" s="145" t="s">
        <v>717</v>
      </c>
      <c r="I175" s="137">
        <f t="shared" si="5"/>
        <v>35.61185449639764</v>
      </c>
      <c r="J175" s="150">
        <v>13.6368774261024</v>
      </c>
      <c r="K175" s="150">
        <v>5.8047017383452699</v>
      </c>
      <c r="L175" s="154" t="s">
        <v>738</v>
      </c>
      <c r="M175" s="121"/>
      <c r="N175" s="121"/>
      <c r="O175" s="121"/>
      <c r="P175" s="121"/>
      <c r="Q175" s="121"/>
      <c r="R175" s="121"/>
      <c r="S175" s="121"/>
      <c r="T175" s="121"/>
      <c r="U175" s="121"/>
      <c r="V175" s="121"/>
      <c r="W175" s="121"/>
      <c r="X175" s="121"/>
      <c r="Y175" s="121"/>
      <c r="Z175" s="121"/>
      <c r="AA175" s="121"/>
      <c r="AB175" s="121"/>
      <c r="AC175" s="121"/>
      <c r="AD175" s="121"/>
      <c r="AE175" s="121"/>
      <c r="AF175" s="121"/>
      <c r="AG175" s="121"/>
      <c r="AH175" s="121"/>
      <c r="AI175" s="121"/>
      <c r="AMD175"/>
      <c r="AME175"/>
      <c r="AMF175"/>
      <c r="AMG175"/>
      <c r="AMH175"/>
      <c r="AMI175"/>
      <c r="AMJ175"/>
    </row>
    <row r="176" spans="1:1024" s="122" customFormat="1">
      <c r="A176" s="133" t="s">
        <v>411</v>
      </c>
      <c r="B176" s="147" t="s">
        <v>896</v>
      </c>
      <c r="C176" s="139" t="s">
        <v>737</v>
      </c>
      <c r="D176" s="139"/>
      <c r="E176" s="139"/>
      <c r="F176" s="145">
        <v>1126</v>
      </c>
      <c r="G176" s="128"/>
      <c r="H176" s="145" t="s">
        <v>717</v>
      </c>
      <c r="I176" s="137">
        <f t="shared" si="5"/>
        <v>334.15790135786455</v>
      </c>
      <c r="J176" s="141">
        <v>13.986236977487099</v>
      </c>
      <c r="K176" s="142"/>
      <c r="L176" s="139" t="s">
        <v>738</v>
      </c>
      <c r="M176" s="121"/>
      <c r="N176" s="121"/>
      <c r="O176" s="121"/>
      <c r="P176" s="121"/>
      <c r="Q176" s="121"/>
      <c r="R176" s="121"/>
      <c r="S176" s="121"/>
      <c r="T176" s="121"/>
      <c r="U176" s="121"/>
      <c r="V176" s="121"/>
      <c r="W176" s="121"/>
      <c r="X176" s="121"/>
      <c r="Y176" s="121"/>
      <c r="Z176" s="121"/>
      <c r="AA176" s="121"/>
      <c r="AB176" s="121"/>
      <c r="AC176" s="121"/>
      <c r="AD176" s="121"/>
      <c r="AE176" s="121"/>
      <c r="AF176" s="121"/>
      <c r="AG176" s="121"/>
      <c r="AH176" s="121"/>
      <c r="AI176" s="121"/>
      <c r="AMD176"/>
      <c r="AME176"/>
      <c r="AMF176"/>
      <c r="AMG176"/>
      <c r="AMH176"/>
      <c r="AMI176"/>
      <c r="AMJ176"/>
    </row>
    <row r="177" spans="1:1024" s="122" customFormat="1">
      <c r="A177" s="133" t="s">
        <v>411</v>
      </c>
      <c r="B177" s="147" t="s">
        <v>897</v>
      </c>
      <c r="C177" s="139" t="s">
        <v>737</v>
      </c>
      <c r="D177" s="139"/>
      <c r="E177" s="139"/>
      <c r="F177" s="145">
        <v>1103</v>
      </c>
      <c r="G177" s="128"/>
      <c r="H177" s="145" t="s">
        <v>717</v>
      </c>
      <c r="I177" s="137">
        <f t="shared" si="5"/>
        <v>327.33229591272163</v>
      </c>
      <c r="J177" s="141">
        <v>13.986236977487099</v>
      </c>
      <c r="K177" s="142"/>
      <c r="L177" s="139" t="s">
        <v>738</v>
      </c>
      <c r="M177" s="121"/>
      <c r="N177" s="121"/>
      <c r="O177" s="121"/>
      <c r="P177" s="121"/>
      <c r="Q177" s="121"/>
      <c r="R177" s="121"/>
      <c r="S177" s="121"/>
      <c r="T177" s="121"/>
      <c r="U177" s="121"/>
      <c r="V177" s="121"/>
      <c r="W177" s="121"/>
      <c r="X177" s="121"/>
      <c r="Y177" s="121"/>
      <c r="Z177" s="121"/>
      <c r="AA177" s="121"/>
      <c r="AB177" s="121"/>
      <c r="AC177" s="121"/>
      <c r="AD177" s="121"/>
      <c r="AE177" s="121"/>
      <c r="AF177" s="121"/>
      <c r="AG177" s="121"/>
      <c r="AH177" s="121"/>
      <c r="AI177" s="121"/>
      <c r="AMD177"/>
      <c r="AME177"/>
      <c r="AMF177"/>
      <c r="AMG177"/>
      <c r="AMH177"/>
      <c r="AMI177"/>
      <c r="AMJ177"/>
    </row>
    <row r="178" spans="1:1024" s="122" customFormat="1">
      <c r="A178" s="133" t="s">
        <v>411</v>
      </c>
      <c r="B178" s="147" t="s">
        <v>898</v>
      </c>
      <c r="C178" s="133" t="s">
        <v>737</v>
      </c>
      <c r="D178" s="133"/>
      <c r="E178" s="133" t="s">
        <v>751</v>
      </c>
      <c r="F178" s="145">
        <v>10</v>
      </c>
      <c r="G178" s="128"/>
      <c r="H178" s="145" t="s">
        <v>717</v>
      </c>
      <c r="I178" s="137">
        <f t="shared" si="5"/>
        <v>2.9676545413664703</v>
      </c>
      <c r="J178" s="138">
        <v>0.12</v>
      </c>
      <c r="K178" s="138"/>
      <c r="L178" s="139" t="s">
        <v>710</v>
      </c>
      <c r="M178" s="121"/>
      <c r="N178" s="121"/>
      <c r="O178" s="121"/>
      <c r="P178" s="121"/>
      <c r="Q178" s="121"/>
      <c r="R178" s="121"/>
      <c r="S178" s="121"/>
      <c r="T178" s="121"/>
      <c r="U178" s="121"/>
      <c r="V178" s="121"/>
      <c r="W178" s="121"/>
      <c r="X178" s="121"/>
      <c r="Y178" s="121"/>
      <c r="Z178" s="121"/>
      <c r="AA178" s="121"/>
      <c r="AB178" s="121"/>
      <c r="AC178" s="121"/>
      <c r="AD178" s="121"/>
      <c r="AE178" s="121"/>
      <c r="AF178" s="121"/>
      <c r="AG178" s="121"/>
      <c r="AH178" s="121"/>
      <c r="AI178" s="121"/>
      <c r="AMD178"/>
      <c r="AME178"/>
      <c r="AMF178"/>
      <c r="AMG178"/>
      <c r="AMH178"/>
      <c r="AMI178"/>
      <c r="AMJ178"/>
    </row>
    <row r="179" spans="1:1024" s="122" customFormat="1">
      <c r="A179" s="133" t="s">
        <v>411</v>
      </c>
      <c r="B179" s="155" t="s">
        <v>899</v>
      </c>
      <c r="C179" s="133" t="s">
        <v>732</v>
      </c>
      <c r="D179" s="133">
        <v>0</v>
      </c>
      <c r="E179" s="133" t="s">
        <v>722</v>
      </c>
      <c r="F179" s="145">
        <v>2.95</v>
      </c>
      <c r="G179" s="128"/>
      <c r="H179" s="145" t="s">
        <v>717</v>
      </c>
      <c r="I179" s="137">
        <f t="shared" si="5"/>
        <v>0.87545808970310879</v>
      </c>
      <c r="J179" s="141">
        <v>2.71698659389385</v>
      </c>
      <c r="K179" s="142"/>
      <c r="L179" s="139" t="s">
        <v>710</v>
      </c>
      <c r="M179" s="121"/>
      <c r="N179" s="121"/>
      <c r="O179" s="121"/>
      <c r="P179" s="121"/>
      <c r="Q179" s="121"/>
      <c r="R179" s="121"/>
      <c r="S179" s="121"/>
      <c r="T179" s="121"/>
      <c r="U179" s="121"/>
      <c r="V179" s="121"/>
      <c r="W179" s="121"/>
      <c r="X179" s="121"/>
      <c r="Y179" s="121"/>
      <c r="Z179" s="121"/>
      <c r="AA179" s="121"/>
      <c r="AB179" s="121"/>
      <c r="AC179" s="121"/>
      <c r="AD179" s="121"/>
      <c r="AE179" s="121"/>
      <c r="AF179" s="121"/>
      <c r="AG179" s="121"/>
      <c r="AH179" s="121"/>
      <c r="AI179" s="121"/>
      <c r="AMD179"/>
      <c r="AME179"/>
      <c r="AMF179"/>
      <c r="AMG179"/>
      <c r="AMH179"/>
      <c r="AMI179"/>
      <c r="AMJ179"/>
    </row>
    <row r="180" spans="1:1024" s="122" customFormat="1">
      <c r="A180" s="133" t="s">
        <v>411</v>
      </c>
      <c r="B180" s="147" t="s">
        <v>900</v>
      </c>
      <c r="C180" s="133" t="s">
        <v>737</v>
      </c>
      <c r="D180" s="133">
        <v>0</v>
      </c>
      <c r="E180" s="133" t="s">
        <v>722</v>
      </c>
      <c r="F180" s="145">
        <v>100</v>
      </c>
      <c r="G180" s="128"/>
      <c r="H180" s="145" t="s">
        <v>717</v>
      </c>
      <c r="I180" s="137">
        <f t="shared" si="5"/>
        <v>29.676545413664702</v>
      </c>
      <c r="J180" s="138">
        <v>0.09</v>
      </c>
      <c r="K180" s="138"/>
      <c r="L180" s="139" t="s">
        <v>710</v>
      </c>
      <c r="M180" s="121"/>
      <c r="N180" s="121"/>
      <c r="O180" s="121"/>
      <c r="P180" s="121"/>
      <c r="Q180" s="121"/>
      <c r="R180" s="121"/>
      <c r="S180" s="121"/>
      <c r="T180" s="121"/>
      <c r="U180" s="121"/>
      <c r="V180" s="121"/>
      <c r="W180" s="121"/>
      <c r="X180" s="121"/>
      <c r="Y180" s="121"/>
      <c r="Z180" s="121"/>
      <c r="AA180" s="121"/>
      <c r="AB180" s="121"/>
      <c r="AC180" s="121"/>
      <c r="AD180" s="121"/>
      <c r="AE180" s="121"/>
      <c r="AF180" s="121"/>
      <c r="AG180" s="121"/>
      <c r="AH180" s="121"/>
      <c r="AI180" s="121"/>
      <c r="AMD180"/>
      <c r="AME180"/>
      <c r="AMF180"/>
      <c r="AMG180"/>
      <c r="AMH180"/>
      <c r="AMI180"/>
      <c r="AMJ180"/>
    </row>
    <row r="181" spans="1:1024" s="122" customFormat="1">
      <c r="A181" s="133" t="s">
        <v>411</v>
      </c>
      <c r="B181" s="147" t="s">
        <v>901</v>
      </c>
      <c r="C181" s="133" t="s">
        <v>737</v>
      </c>
      <c r="D181" s="133">
        <v>0</v>
      </c>
      <c r="E181" s="133" t="s">
        <v>722</v>
      </c>
      <c r="F181" s="145">
        <v>25</v>
      </c>
      <c r="G181" s="128"/>
      <c r="H181" s="145" t="s">
        <v>717</v>
      </c>
      <c r="I181" s="137">
        <f t="shared" si="5"/>
        <v>7.4191363534161754</v>
      </c>
      <c r="J181" s="138">
        <v>0.09</v>
      </c>
      <c r="K181" s="138"/>
      <c r="L181" s="139" t="s">
        <v>710</v>
      </c>
      <c r="M181" s="121"/>
      <c r="N181" s="121"/>
      <c r="O181" s="121"/>
      <c r="P181" s="121"/>
      <c r="Q181" s="121"/>
      <c r="R181" s="121"/>
      <c r="S181" s="121"/>
      <c r="T181" s="121"/>
      <c r="U181" s="121"/>
      <c r="V181" s="121"/>
      <c r="W181" s="121"/>
      <c r="X181" s="121"/>
      <c r="Y181" s="121"/>
      <c r="Z181" s="121"/>
      <c r="AA181" s="121"/>
      <c r="AB181" s="121"/>
      <c r="AC181" s="121"/>
      <c r="AD181" s="121"/>
      <c r="AE181" s="121"/>
      <c r="AF181" s="121"/>
      <c r="AG181" s="121"/>
      <c r="AH181" s="121"/>
      <c r="AI181" s="121"/>
      <c r="AMD181"/>
      <c r="AME181"/>
      <c r="AMF181"/>
      <c r="AMG181"/>
      <c r="AMH181"/>
      <c r="AMI181"/>
      <c r="AMJ181"/>
    </row>
    <row r="182" spans="1:1024" s="122" customFormat="1">
      <c r="A182" s="133" t="s">
        <v>411</v>
      </c>
      <c r="B182" s="147" t="s">
        <v>902</v>
      </c>
      <c r="C182" s="133" t="s">
        <v>737</v>
      </c>
      <c r="D182" s="133">
        <v>0</v>
      </c>
      <c r="E182" s="133" t="s">
        <v>722</v>
      </c>
      <c r="F182" s="145">
        <v>25</v>
      </c>
      <c r="G182" s="128"/>
      <c r="H182" s="145" t="s">
        <v>717</v>
      </c>
      <c r="I182" s="137">
        <f t="shared" si="5"/>
        <v>7.4191363534161754</v>
      </c>
      <c r="J182" s="138">
        <v>0.09</v>
      </c>
      <c r="K182" s="138"/>
      <c r="L182" s="139" t="s">
        <v>710</v>
      </c>
      <c r="M182" s="121"/>
      <c r="N182" s="121"/>
      <c r="O182" s="121"/>
      <c r="P182" s="121"/>
      <c r="Q182" s="121"/>
      <c r="R182" s="121"/>
      <c r="S182" s="121"/>
      <c r="T182" s="121"/>
      <c r="U182" s="121"/>
      <c r="V182" s="121"/>
      <c r="W182" s="121"/>
      <c r="X182" s="121"/>
      <c r="Y182" s="121"/>
      <c r="Z182" s="121"/>
      <c r="AA182" s="121"/>
      <c r="AB182" s="121"/>
      <c r="AC182" s="121"/>
      <c r="AD182" s="121"/>
      <c r="AE182" s="121"/>
      <c r="AF182" s="121"/>
      <c r="AG182" s="121"/>
      <c r="AH182" s="121"/>
      <c r="AI182" s="121"/>
      <c r="AMD182"/>
      <c r="AME182"/>
      <c r="AMF182"/>
      <c r="AMG182"/>
      <c r="AMH182"/>
      <c r="AMI182"/>
      <c r="AMJ182"/>
    </row>
    <row r="183" spans="1:1024" s="122" customFormat="1" ht="15">
      <c r="A183" s="133" t="s">
        <v>411</v>
      </c>
      <c r="B183" s="147" t="s">
        <v>903</v>
      </c>
      <c r="C183" s="139" t="s">
        <v>737</v>
      </c>
      <c r="D183" s="139"/>
      <c r="E183" s="139"/>
      <c r="F183" s="156">
        <v>68</v>
      </c>
      <c r="G183" s="128"/>
      <c r="H183" s="145" t="s">
        <v>717</v>
      </c>
      <c r="I183" s="137">
        <f t="shared" si="5"/>
        <v>20.180050881291997</v>
      </c>
      <c r="J183" s="141">
        <v>13.986236977487099</v>
      </c>
      <c r="K183" s="142"/>
      <c r="L183" s="139" t="s">
        <v>738</v>
      </c>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1"/>
      <c r="AMD183"/>
      <c r="AME183"/>
      <c r="AMF183"/>
      <c r="AMG183"/>
      <c r="AMH183"/>
      <c r="AMI183"/>
      <c r="AMJ183"/>
    </row>
    <row r="184" spans="1:1024" s="122" customFormat="1">
      <c r="A184" s="133" t="s">
        <v>411</v>
      </c>
      <c r="B184" s="134" t="s">
        <v>904</v>
      </c>
      <c r="C184" s="135" t="s">
        <v>715</v>
      </c>
      <c r="D184" s="135"/>
      <c r="E184" s="135"/>
      <c r="F184" s="140">
        <v>70</v>
      </c>
      <c r="G184" s="128"/>
      <c r="H184" s="133" t="s">
        <v>717</v>
      </c>
      <c r="I184" s="137">
        <f t="shared" si="5"/>
        <v>20.773581789565291</v>
      </c>
      <c r="J184" s="138">
        <v>112.93</v>
      </c>
      <c r="K184" s="138">
        <v>57.29</v>
      </c>
      <c r="L184" s="139" t="s">
        <v>710</v>
      </c>
      <c r="M184" s="121"/>
      <c r="N184" s="121"/>
      <c r="O184" s="121"/>
      <c r="P184" s="121"/>
      <c r="Q184" s="121"/>
      <c r="R184" s="121"/>
      <c r="S184" s="121"/>
      <c r="T184" s="121"/>
      <c r="U184" s="121"/>
      <c r="V184" s="121"/>
      <c r="W184" s="121"/>
      <c r="X184" s="121"/>
      <c r="Y184" s="121"/>
      <c r="Z184" s="121"/>
      <c r="AA184" s="121"/>
      <c r="AB184" s="121"/>
      <c r="AC184" s="121"/>
      <c r="AD184" s="121"/>
      <c r="AE184" s="121"/>
      <c r="AF184" s="121"/>
      <c r="AG184" s="121"/>
      <c r="AH184" s="121"/>
      <c r="AI184" s="121"/>
      <c r="AMD184"/>
      <c r="AME184"/>
      <c r="AMF184"/>
      <c r="AMG184"/>
      <c r="AMH184"/>
      <c r="AMI184"/>
      <c r="AMJ184"/>
    </row>
    <row r="185" spans="1:1024" s="122" customFormat="1">
      <c r="A185" s="133" t="s">
        <v>412</v>
      </c>
      <c r="B185" s="147" t="s">
        <v>905</v>
      </c>
      <c r="C185" s="157" t="s">
        <v>715</v>
      </c>
      <c r="D185" s="139"/>
      <c r="E185" s="154" t="s">
        <v>751</v>
      </c>
      <c r="F185" s="154">
        <v>1</v>
      </c>
      <c r="G185" s="158"/>
      <c r="H185" s="154" t="s">
        <v>717</v>
      </c>
      <c r="I185" s="159">
        <f>F185</f>
        <v>1</v>
      </c>
      <c r="J185" s="151">
        <v>103754</v>
      </c>
      <c r="K185" s="151">
        <v>32163</v>
      </c>
      <c r="L185" s="154" t="s">
        <v>710</v>
      </c>
      <c r="M185" s="121"/>
      <c r="N185" s="121"/>
      <c r="O185" s="121"/>
      <c r="P185" s="121"/>
      <c r="Q185" s="121"/>
      <c r="R185" s="121"/>
      <c r="S185" s="121"/>
      <c r="T185" s="121"/>
      <c r="U185" s="121"/>
      <c r="V185" s="121"/>
      <c r="W185" s="121"/>
      <c r="X185" s="121"/>
      <c r="Y185" s="121"/>
      <c r="Z185" s="121"/>
      <c r="AA185" s="121"/>
      <c r="AB185" s="121"/>
      <c r="AC185" s="121"/>
      <c r="AD185" s="121"/>
      <c r="AE185" s="121"/>
      <c r="AF185" s="121"/>
      <c r="AG185" s="121"/>
      <c r="AH185" s="121"/>
      <c r="AI185" s="121"/>
      <c r="AMD185"/>
      <c r="AME185"/>
      <c r="AMF185"/>
      <c r="AMG185"/>
      <c r="AMH185"/>
      <c r="AMI185"/>
      <c r="AMJ185"/>
    </row>
    <row r="186" spans="1:1024" s="122" customFormat="1">
      <c r="A186" s="133" t="s">
        <v>411</v>
      </c>
      <c r="B186" s="134" t="s">
        <v>906</v>
      </c>
      <c r="C186" s="133" t="s">
        <v>715</v>
      </c>
      <c r="D186" s="133" t="s">
        <v>716</v>
      </c>
      <c r="E186" s="157"/>
      <c r="F186" s="145">
        <v>14.97</v>
      </c>
      <c r="G186" s="128"/>
      <c r="H186" s="145" t="s">
        <v>717</v>
      </c>
      <c r="I186" s="137">
        <f>IF(A186="Equipos Rotativos",F186,F186*fac_piping)</f>
        <v>4.4425788484256064</v>
      </c>
      <c r="J186" s="138">
        <v>66.239999999999995</v>
      </c>
      <c r="K186" s="138">
        <v>12.16</v>
      </c>
      <c r="L186" s="139" t="s">
        <v>710</v>
      </c>
      <c r="M186" s="121"/>
      <c r="N186" s="121"/>
      <c r="O186" s="121"/>
      <c r="P186" s="121"/>
      <c r="Q186" s="121"/>
      <c r="R186" s="121"/>
      <c r="S186" s="121"/>
      <c r="T186" s="121"/>
      <c r="U186" s="121"/>
      <c r="V186" s="121"/>
      <c r="W186" s="121"/>
      <c r="X186" s="121"/>
      <c r="Y186" s="121"/>
      <c r="Z186" s="121"/>
      <c r="AA186" s="121"/>
      <c r="AB186" s="121"/>
      <c r="AC186" s="121"/>
      <c r="AD186" s="121"/>
      <c r="AE186" s="121"/>
      <c r="AF186" s="121"/>
      <c r="AG186" s="121"/>
      <c r="AH186" s="121"/>
      <c r="AI186" s="121"/>
      <c r="AMD186"/>
      <c r="AME186"/>
      <c r="AMF186"/>
      <c r="AMG186"/>
      <c r="AMH186"/>
      <c r="AMI186"/>
      <c r="AMJ186"/>
    </row>
    <row r="187" spans="1:1024" s="122" customFormat="1" ht="15">
      <c r="A187" s="133" t="s">
        <v>411</v>
      </c>
      <c r="B187" s="147" t="s">
        <v>907</v>
      </c>
      <c r="C187" s="139" t="s">
        <v>737</v>
      </c>
      <c r="D187" s="139"/>
      <c r="E187" s="139"/>
      <c r="F187" s="156">
        <v>216</v>
      </c>
      <c r="G187" s="128"/>
      <c r="H187" s="145" t="s">
        <v>717</v>
      </c>
      <c r="I187" s="137">
        <f>IF(A187="Equipos Rotativos",F187,F187*fac_piping)</f>
        <v>64.10133809351575</v>
      </c>
      <c r="J187" s="141">
        <v>13.986236977487099</v>
      </c>
      <c r="K187" s="142"/>
      <c r="L187" s="139" t="s">
        <v>738</v>
      </c>
      <c r="M187" s="121"/>
      <c r="N187" s="121"/>
      <c r="O187" s="121"/>
      <c r="P187" s="121"/>
      <c r="Q187" s="121"/>
      <c r="R187" s="121"/>
      <c r="S187" s="121"/>
      <c r="T187" s="121"/>
      <c r="U187" s="121"/>
      <c r="V187" s="121"/>
      <c r="W187" s="121"/>
      <c r="X187" s="121"/>
      <c r="Y187" s="121"/>
      <c r="Z187" s="121"/>
      <c r="AA187" s="121"/>
      <c r="AB187" s="121"/>
      <c r="AC187" s="121"/>
      <c r="AD187" s="121"/>
      <c r="AE187" s="121"/>
      <c r="AF187" s="121"/>
      <c r="AG187" s="121"/>
      <c r="AH187" s="121"/>
      <c r="AI187" s="121"/>
      <c r="AMD187"/>
      <c r="AME187"/>
      <c r="AMF187"/>
      <c r="AMG187"/>
      <c r="AMH187"/>
      <c r="AMI187"/>
      <c r="AMJ187"/>
    </row>
    <row r="188" spans="1:1024" s="122" customFormat="1">
      <c r="A188" s="133" t="s">
        <v>411</v>
      </c>
      <c r="B188" s="153" t="s">
        <v>908</v>
      </c>
      <c r="C188" s="157" t="s">
        <v>715</v>
      </c>
      <c r="D188" s="157"/>
      <c r="E188" s="157" t="s">
        <v>751</v>
      </c>
      <c r="F188" s="145">
        <v>462.66421739999998</v>
      </c>
      <c r="G188" s="128"/>
      <c r="H188" s="145" t="s">
        <v>717</v>
      </c>
      <c r="I188" s="137">
        <f>IF(A188="Equipos Rotativos",F188,F188*fac_piping)</f>
        <v>137.30275658948739</v>
      </c>
      <c r="J188" s="138">
        <v>16.079999999999998</v>
      </c>
      <c r="K188" s="138">
        <v>6.51</v>
      </c>
      <c r="L188" s="139" t="s">
        <v>710</v>
      </c>
      <c r="M188" s="121"/>
      <c r="N188" s="121"/>
      <c r="O188" s="121"/>
      <c r="P188" s="121"/>
      <c r="Q188" s="121"/>
      <c r="R188" s="121"/>
      <c r="S188" s="121"/>
      <c r="T188" s="121"/>
      <c r="U188" s="121"/>
      <c r="V188" s="121"/>
      <c r="W188" s="121"/>
      <c r="X188" s="121"/>
      <c r="Y188" s="121"/>
      <c r="Z188" s="121"/>
      <c r="AA188" s="121"/>
      <c r="AB188" s="121"/>
      <c r="AC188" s="121"/>
      <c r="AD188" s="121"/>
      <c r="AE188" s="121"/>
      <c r="AF188" s="121"/>
      <c r="AG188" s="121"/>
      <c r="AH188" s="121"/>
      <c r="AI188" s="121"/>
      <c r="AMD188"/>
      <c r="AME188"/>
      <c r="AMF188"/>
      <c r="AMG188"/>
      <c r="AMH188"/>
      <c r="AMI188"/>
      <c r="AMJ188"/>
    </row>
    <row r="189" spans="1:1024" s="122" customFormat="1">
      <c r="A189" s="133" t="s">
        <v>411</v>
      </c>
      <c r="B189" s="153" t="s">
        <v>909</v>
      </c>
      <c r="C189" s="157" t="s">
        <v>715</v>
      </c>
      <c r="D189" s="157"/>
      <c r="E189" s="157" t="s">
        <v>751</v>
      </c>
      <c r="F189" s="140">
        <v>176</v>
      </c>
      <c r="G189" s="128"/>
      <c r="H189" s="133" t="s">
        <v>717</v>
      </c>
      <c r="I189" s="137">
        <f>IF(A189="Equipos Rotativos",F189,F189*fac_piping)</f>
        <v>52.230719928049872</v>
      </c>
      <c r="J189" s="138">
        <v>9.1300000000000008</v>
      </c>
      <c r="K189" s="138">
        <v>4.95</v>
      </c>
      <c r="L189" s="139" t="s">
        <v>710</v>
      </c>
      <c r="M189" s="121"/>
      <c r="N189" s="121"/>
      <c r="O189" s="121"/>
      <c r="P189" s="121"/>
      <c r="Q189" s="121"/>
      <c r="R189" s="121"/>
      <c r="S189" s="121"/>
      <c r="T189" s="121"/>
      <c r="U189" s="121"/>
      <c r="V189" s="121"/>
      <c r="W189" s="121"/>
      <c r="X189" s="121"/>
      <c r="Y189" s="121"/>
      <c r="Z189" s="121"/>
      <c r="AA189" s="121"/>
      <c r="AB189" s="121"/>
      <c r="AC189" s="121"/>
      <c r="AD189" s="121"/>
      <c r="AE189" s="121"/>
      <c r="AF189" s="121"/>
      <c r="AG189" s="121"/>
      <c r="AH189" s="121"/>
      <c r="AI189" s="121"/>
      <c r="AMD189"/>
      <c r="AME189"/>
      <c r="AMF189"/>
      <c r="AMG189"/>
      <c r="AMH189"/>
      <c r="AMI189"/>
      <c r="AMJ189"/>
    </row>
    <row r="190" spans="1:1024" s="122" customFormat="1">
      <c r="A190" s="160" t="s">
        <v>411</v>
      </c>
      <c r="B190" s="161" t="s">
        <v>910</v>
      </c>
      <c r="C190" s="162" t="s">
        <v>715</v>
      </c>
      <c r="D190" s="162"/>
      <c r="E190" s="162"/>
      <c r="F190" s="163">
        <v>70</v>
      </c>
      <c r="G190" s="164"/>
      <c r="H190" s="160" t="s">
        <v>717</v>
      </c>
      <c r="I190" s="165">
        <f>IF(A190="Equipos Rotativos",F190,F190*fac_piping)</f>
        <v>20.773581789565291</v>
      </c>
      <c r="J190" s="166">
        <v>112.93</v>
      </c>
      <c r="K190" s="166">
        <v>57.29</v>
      </c>
      <c r="L190" s="167" t="s">
        <v>710</v>
      </c>
      <c r="M190" s="121"/>
      <c r="N190" s="121"/>
      <c r="O190" s="121"/>
      <c r="P190" s="121"/>
      <c r="Q190" s="121"/>
      <c r="R190" s="121"/>
      <c r="S190" s="121"/>
      <c r="T190" s="121"/>
      <c r="U190" s="121"/>
      <c r="V190" s="121"/>
      <c r="W190" s="121"/>
      <c r="X190" s="121"/>
      <c r="Y190" s="121"/>
      <c r="Z190" s="121"/>
      <c r="AA190" s="121"/>
      <c r="AB190" s="121"/>
      <c r="AC190" s="121"/>
      <c r="AD190" s="121"/>
      <c r="AE190" s="121"/>
      <c r="AF190" s="121"/>
      <c r="AG190" s="121"/>
      <c r="AH190" s="121"/>
      <c r="AI190" s="121"/>
      <c r="AMD190"/>
      <c r="AME190"/>
      <c r="AMF190"/>
      <c r="AMG190"/>
      <c r="AMH190"/>
      <c r="AMI190"/>
      <c r="AMJ190"/>
    </row>
    <row r="191" spans="1:1024">
      <c r="M191" s="121"/>
      <c r="N191" s="121"/>
      <c r="O191" s="121"/>
      <c r="P191" s="121"/>
      <c r="Q191" s="121"/>
      <c r="R191" s="121"/>
      <c r="S191" s="121"/>
      <c r="T191" s="121"/>
      <c r="U191" s="121"/>
      <c r="V191" s="121"/>
      <c r="W191" s="121"/>
      <c r="X191" s="121"/>
      <c r="Y191" s="121"/>
      <c r="Z191" s="121"/>
      <c r="AA191" s="121"/>
      <c r="AB191" s="121"/>
      <c r="AC191" s="121"/>
      <c r="AD191" s="121"/>
      <c r="AE191" s="121"/>
      <c r="AF191" s="121"/>
      <c r="AG191" s="121"/>
      <c r="AH191" s="121"/>
      <c r="AI191" s="121"/>
    </row>
    <row r="192" spans="1:1024">
      <c r="M192" s="121"/>
      <c r="N192" s="121"/>
      <c r="O192" s="121"/>
      <c r="P192" s="121"/>
      <c r="Q192" s="121"/>
      <c r="R192" s="121"/>
      <c r="S192" s="121"/>
      <c r="T192" s="121"/>
      <c r="U192" s="121"/>
      <c r="V192" s="121"/>
      <c r="W192" s="121"/>
      <c r="X192" s="121"/>
      <c r="Y192" s="121"/>
      <c r="Z192" s="121"/>
      <c r="AA192" s="121"/>
      <c r="AB192" s="121"/>
      <c r="AC192" s="121"/>
      <c r="AD192" s="121"/>
      <c r="AE192" s="121"/>
      <c r="AF192" s="121"/>
      <c r="AG192" s="121"/>
      <c r="AH192" s="121"/>
      <c r="AI192" s="121"/>
    </row>
  </sheetData>
  <sheetProtection algorithmName="SHA-512" hashValue="pAH5OjbVCnSBGezDreMjPJnGJTGUmN0SkxnBKTkc4a78SPKS6PAaxY/Cu9TKxVRz7pKPvkyuAz5LQDfvw3VMBQ==" saltValue="0kdg1L4ivquq68RqCPlWiQ==" spinCount="100000" sheet="1"/>
  <autoFilter ref="A2:N190" xr:uid="{00000000-0009-0000-0000-000008000000}"/>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tabColor theme="8" tint="-0.499984740745262"/>
  </sheetPr>
  <dimension ref="B1:K50"/>
  <sheetViews>
    <sheetView showGridLines="0" showRowColHeaders="0" topLeftCell="C1" zoomScaleNormal="100" workbookViewId="0">
      <selection activeCell="C33" sqref="C33:H33"/>
    </sheetView>
  </sheetViews>
  <sheetFormatPr baseColWidth="10" defaultColWidth="9.140625" defaultRowHeight="12.75"/>
  <cols>
    <col min="1" max="1" width="2.42578125" customWidth="1"/>
    <col min="2" max="2" width="5.42578125" customWidth="1"/>
    <col min="3" max="3" width="3.85546875" customWidth="1"/>
    <col min="4" max="4" width="13.140625" style="1" customWidth="1"/>
    <col min="5" max="5" width="15.7109375" style="1" customWidth="1"/>
    <col min="6" max="6" width="12.7109375" style="1" customWidth="1"/>
    <col min="7" max="7" width="14" style="1" customWidth="1"/>
    <col min="8" max="8" width="13.42578125" customWidth="1"/>
    <col min="9" max="9" width="15.28515625" customWidth="1"/>
    <col min="10" max="10" width="3.42578125" customWidth="1"/>
    <col min="11" max="11" width="35.28515625" customWidth="1"/>
    <col min="12" max="1025" width="10.42578125" customWidth="1"/>
  </cols>
  <sheetData>
    <row r="1" spans="2:11" ht="15.75">
      <c r="B1" s="168"/>
      <c r="C1" s="168"/>
      <c r="D1" s="169"/>
      <c r="E1" s="169"/>
      <c r="F1" s="169"/>
      <c r="G1" s="169"/>
      <c r="H1" s="168"/>
      <c r="I1" s="168"/>
    </row>
    <row r="2" spans="2:11" ht="15.75">
      <c r="B2" s="168"/>
      <c r="C2" s="764" t="s">
        <v>911</v>
      </c>
      <c r="D2" s="764"/>
      <c r="E2" s="764"/>
      <c r="F2" s="764"/>
      <c r="G2" s="764"/>
      <c r="H2" s="170">
        <v>0.5</v>
      </c>
      <c r="I2" s="168"/>
    </row>
    <row r="3" spans="2:11" ht="11.1" customHeight="1">
      <c r="I3" s="168"/>
    </row>
    <row r="4" spans="2:11" ht="15.75" customHeight="1">
      <c r="B4" s="765" t="s">
        <v>912</v>
      </c>
      <c r="C4" s="765"/>
      <c r="D4" s="765"/>
      <c r="E4" s="765"/>
      <c r="F4" s="765"/>
      <c r="G4" s="765"/>
      <c r="H4" s="765"/>
      <c r="I4" s="171"/>
    </row>
    <row r="5" spans="2:11" ht="14.45" customHeight="1">
      <c r="B5" s="765"/>
      <c r="C5" s="765"/>
      <c r="D5" s="765"/>
      <c r="E5" s="765"/>
      <c r="F5" s="765"/>
      <c r="G5" s="765"/>
      <c r="H5" s="765"/>
      <c r="I5" s="171"/>
    </row>
    <row r="6" spans="2:11" ht="10.5" customHeight="1">
      <c r="B6" s="171"/>
      <c r="C6" s="171"/>
      <c r="D6" s="171"/>
      <c r="E6" s="171"/>
      <c r="F6" s="171"/>
      <c r="G6" s="171"/>
      <c r="H6" s="171"/>
      <c r="I6" s="171"/>
    </row>
    <row r="7" spans="2:11" ht="15" customHeight="1">
      <c r="B7" s="766" t="s">
        <v>913</v>
      </c>
      <c r="C7" s="766"/>
      <c r="D7" s="766"/>
      <c r="E7" s="766"/>
      <c r="F7" s="766"/>
      <c r="G7" s="766"/>
      <c r="H7" s="766"/>
      <c r="I7" s="171"/>
    </row>
    <row r="8" spans="2:11" ht="15" customHeight="1">
      <c r="B8" s="171"/>
      <c r="C8" s="171"/>
      <c r="D8" s="171"/>
      <c r="E8" s="171"/>
      <c r="F8" s="171"/>
      <c r="G8" s="171"/>
      <c r="H8" s="171"/>
      <c r="I8" s="171"/>
    </row>
    <row r="9" spans="2:11" ht="15.75" customHeight="1">
      <c r="B9" s="755">
        <v>0.1</v>
      </c>
      <c r="C9" s="756" t="s">
        <v>914</v>
      </c>
      <c r="D9" s="756"/>
      <c r="E9" s="756"/>
      <c r="F9" s="756"/>
      <c r="G9" s="756"/>
      <c r="H9" s="756"/>
      <c r="I9" s="168"/>
    </row>
    <row r="10" spans="2:11" ht="36.950000000000003" customHeight="1">
      <c r="B10" s="755"/>
      <c r="C10" s="757" t="s">
        <v>915</v>
      </c>
      <c r="D10" s="757"/>
      <c r="E10" s="757"/>
      <c r="F10" s="757"/>
      <c r="G10" s="757"/>
      <c r="H10" s="757"/>
      <c r="I10" s="168"/>
    </row>
    <row r="11" spans="2:11" ht="16.5" customHeight="1">
      <c r="B11" s="755"/>
      <c r="C11" s="172">
        <v>1</v>
      </c>
      <c r="D11" s="760" t="s">
        <v>916</v>
      </c>
      <c r="E11" s="760"/>
      <c r="F11" s="760"/>
      <c r="G11" s="760"/>
      <c r="H11" s="758">
        <v>1</v>
      </c>
      <c r="I11" s="763">
        <f>IFERROR(VLOOKUP(H11,FACTORES!$M$4:$N$8,2,0)*B9*$H$2,"Introducir o revisar Valor en Columna H (Valor maximo permitido = 5)")</f>
        <v>5.000000000000001E-3</v>
      </c>
    </row>
    <row r="12" spans="2:11" ht="15" customHeight="1">
      <c r="B12" s="755"/>
      <c r="C12" s="172">
        <v>2</v>
      </c>
      <c r="D12" s="762" t="s">
        <v>917</v>
      </c>
      <c r="E12" s="762"/>
      <c r="F12" s="762"/>
      <c r="G12" s="762"/>
      <c r="H12" s="758"/>
      <c r="I12" s="763"/>
      <c r="K12" s="173"/>
    </row>
    <row r="13" spans="2:11" ht="15" customHeight="1">
      <c r="B13" s="755"/>
      <c r="C13" s="172">
        <v>3</v>
      </c>
      <c r="D13" s="762" t="s">
        <v>918</v>
      </c>
      <c r="E13" s="762"/>
      <c r="F13" s="762"/>
      <c r="G13" s="762"/>
      <c r="H13" s="758"/>
      <c r="I13" s="763"/>
      <c r="K13" s="174"/>
    </row>
    <row r="14" spans="2:11" ht="15" customHeight="1">
      <c r="B14" s="755"/>
      <c r="C14" s="172">
        <v>4</v>
      </c>
      <c r="D14" s="762" t="s">
        <v>919</v>
      </c>
      <c r="E14" s="762"/>
      <c r="F14" s="762"/>
      <c r="G14" s="762"/>
      <c r="H14" s="758"/>
      <c r="I14" s="763"/>
    </row>
    <row r="15" spans="2:11" ht="16.5">
      <c r="B15" s="755"/>
      <c r="C15" s="172">
        <v>5</v>
      </c>
      <c r="D15" s="760" t="s">
        <v>920</v>
      </c>
      <c r="E15" s="760"/>
      <c r="F15" s="760"/>
      <c r="G15" s="760"/>
      <c r="H15" s="758"/>
      <c r="I15" s="763"/>
    </row>
    <row r="16" spans="2:11" ht="9.9499999999999993" customHeight="1"/>
    <row r="17" spans="2:9" ht="15.75" customHeight="1">
      <c r="B17" s="755">
        <v>0.2</v>
      </c>
      <c r="C17" s="756" t="s">
        <v>921</v>
      </c>
      <c r="D17" s="756"/>
      <c r="E17" s="756"/>
      <c r="F17" s="756"/>
      <c r="G17" s="756"/>
      <c r="H17" s="756"/>
      <c r="I17" s="175"/>
    </row>
    <row r="18" spans="2:9" ht="31.5" customHeight="1">
      <c r="B18" s="755"/>
      <c r="C18" s="757" t="s">
        <v>922</v>
      </c>
      <c r="D18" s="757"/>
      <c r="E18" s="757"/>
      <c r="F18" s="757"/>
      <c r="G18" s="757"/>
      <c r="H18" s="757"/>
      <c r="I18" s="175"/>
    </row>
    <row r="19" spans="2:9" ht="16.5" customHeight="1">
      <c r="B19" s="755"/>
      <c r="C19" s="176">
        <v>1</v>
      </c>
      <c r="D19" s="760" t="s">
        <v>923</v>
      </c>
      <c r="E19" s="760"/>
      <c r="F19" s="760"/>
      <c r="G19" s="760"/>
      <c r="H19" s="758">
        <v>1</v>
      </c>
      <c r="I19" s="752">
        <f>IFERROR(VLOOKUP(H19,FACTORES!$M$4:$N$8,2,0)*B17*$H$2,"Introducir o revisar Valor en Columna H (Valor maximo permitido = 5)")</f>
        <v>1.0000000000000002E-2</v>
      </c>
    </row>
    <row r="20" spans="2:9" ht="14.45" customHeight="1">
      <c r="B20" s="755"/>
      <c r="C20" s="176">
        <v>2</v>
      </c>
      <c r="D20" s="760" t="s">
        <v>924</v>
      </c>
      <c r="E20" s="760"/>
      <c r="F20" s="760"/>
      <c r="G20" s="760"/>
      <c r="H20" s="758"/>
      <c r="I20" s="752"/>
    </row>
    <row r="21" spans="2:9" ht="16.5">
      <c r="B21" s="755"/>
      <c r="C21" s="176">
        <v>3</v>
      </c>
      <c r="D21" s="760" t="s">
        <v>925</v>
      </c>
      <c r="E21" s="760"/>
      <c r="F21" s="760"/>
      <c r="G21" s="760"/>
      <c r="H21" s="758"/>
      <c r="I21" s="752"/>
    </row>
    <row r="22" spans="2:9" ht="15.6" customHeight="1">
      <c r="B22" s="755"/>
      <c r="C22" s="176">
        <v>4</v>
      </c>
      <c r="D22" s="760" t="s">
        <v>926</v>
      </c>
      <c r="E22" s="760"/>
      <c r="F22" s="760"/>
      <c r="G22" s="760"/>
      <c r="H22" s="758"/>
      <c r="I22" s="752"/>
    </row>
    <row r="23" spans="2:9" ht="15" customHeight="1">
      <c r="B23" s="755"/>
      <c r="C23" s="176">
        <v>5</v>
      </c>
      <c r="D23" s="762" t="s">
        <v>927</v>
      </c>
      <c r="E23" s="762"/>
      <c r="F23" s="762"/>
      <c r="G23" s="762"/>
      <c r="H23" s="758"/>
      <c r="I23" s="752"/>
    </row>
    <row r="24" spans="2:9" ht="9.9499999999999993" customHeight="1"/>
    <row r="25" spans="2:9" ht="15.75" customHeight="1">
      <c r="B25" s="755">
        <v>0.2</v>
      </c>
      <c r="C25" s="756" t="s">
        <v>928</v>
      </c>
      <c r="D25" s="756"/>
      <c r="E25" s="756"/>
      <c r="F25" s="756"/>
      <c r="G25" s="756"/>
      <c r="H25" s="756"/>
      <c r="I25" s="175"/>
    </row>
    <row r="26" spans="2:9" ht="41.1" customHeight="1">
      <c r="B26" s="755"/>
      <c r="C26" s="757" t="s">
        <v>929</v>
      </c>
      <c r="D26" s="757"/>
      <c r="E26" s="757"/>
      <c r="F26" s="757"/>
      <c r="G26" s="757"/>
      <c r="H26" s="757"/>
      <c r="I26" s="175"/>
    </row>
    <row r="27" spans="2:9" ht="16.5" customHeight="1">
      <c r="B27" s="755"/>
      <c r="C27" s="172">
        <v>1</v>
      </c>
      <c r="D27" s="760" t="s">
        <v>930</v>
      </c>
      <c r="E27" s="760"/>
      <c r="F27" s="760"/>
      <c r="G27" s="760"/>
      <c r="H27" s="758">
        <v>2</v>
      </c>
      <c r="I27" s="752">
        <f>IFERROR(VLOOKUP(H27,FACTORES!$M$4:$N$8,2,0)*B25*$H$2,"Introducir o revisar Valor en Columna H (Valor maximo permitido = 5)")</f>
        <v>2.5000000000000001E-2</v>
      </c>
    </row>
    <row r="28" spans="2:9" ht="16.5">
      <c r="B28" s="755"/>
      <c r="C28" s="172">
        <v>2</v>
      </c>
      <c r="D28" s="760" t="s">
        <v>931</v>
      </c>
      <c r="E28" s="760"/>
      <c r="F28" s="760"/>
      <c r="G28" s="760"/>
      <c r="H28" s="758"/>
      <c r="I28" s="752"/>
    </row>
    <row r="29" spans="2:9" ht="16.5">
      <c r="B29" s="755"/>
      <c r="C29" s="172">
        <v>3</v>
      </c>
      <c r="D29" s="760" t="s">
        <v>932</v>
      </c>
      <c r="E29" s="760"/>
      <c r="F29" s="760"/>
      <c r="G29" s="760"/>
      <c r="H29" s="758"/>
      <c r="I29" s="752"/>
    </row>
    <row r="30" spans="2:9" ht="16.5">
      <c r="B30" s="755"/>
      <c r="C30" s="172">
        <v>4</v>
      </c>
      <c r="D30" s="760" t="s">
        <v>933</v>
      </c>
      <c r="E30" s="760"/>
      <c r="F30" s="760"/>
      <c r="G30" s="760"/>
      <c r="H30" s="758"/>
      <c r="I30" s="752"/>
    </row>
    <row r="31" spans="2:9" ht="16.5">
      <c r="B31" s="755"/>
      <c r="C31" s="172">
        <v>5</v>
      </c>
      <c r="D31" s="761" t="s">
        <v>934</v>
      </c>
      <c r="E31" s="761"/>
      <c r="F31" s="761"/>
      <c r="G31" s="761"/>
      <c r="H31" s="758"/>
      <c r="I31" s="752"/>
    </row>
    <row r="32" spans="2:9" ht="9.9499999999999993" customHeight="1"/>
    <row r="33" spans="2:9" ht="15.75" customHeight="1">
      <c r="B33" s="755">
        <v>0.25</v>
      </c>
      <c r="C33" s="756" t="s">
        <v>935</v>
      </c>
      <c r="D33" s="756"/>
      <c r="E33" s="756"/>
      <c r="F33" s="756"/>
      <c r="G33" s="756"/>
      <c r="H33" s="756"/>
      <c r="I33" s="175"/>
    </row>
    <row r="34" spans="2:9" ht="25.5" customHeight="1">
      <c r="B34" s="755"/>
      <c r="C34" s="757" t="s">
        <v>936</v>
      </c>
      <c r="D34" s="757"/>
      <c r="E34" s="757"/>
      <c r="F34" s="757"/>
      <c r="G34" s="757"/>
      <c r="H34" s="757"/>
      <c r="I34" s="175"/>
    </row>
    <row r="35" spans="2:9" ht="15.75" customHeight="1">
      <c r="B35" s="755"/>
      <c r="C35" s="176">
        <v>1</v>
      </c>
      <c r="D35" s="753" t="s">
        <v>937</v>
      </c>
      <c r="E35" s="753"/>
      <c r="F35" s="753"/>
      <c r="G35" s="753"/>
      <c r="H35" s="758">
        <v>1</v>
      </c>
      <c r="I35" s="752">
        <f>IFERROR(VLOOKUP(H35,FACTORES!$M$4:$N$8,2,0)*B33*$H$2,"Introducir o revisar Valor en Columna H (Valor maximo permitido = 5)")</f>
        <v>1.2500000000000001E-2</v>
      </c>
    </row>
    <row r="36" spans="2:9" ht="15.75">
      <c r="B36" s="755"/>
      <c r="C36" s="176">
        <v>2</v>
      </c>
      <c r="D36" s="753" t="s">
        <v>938</v>
      </c>
      <c r="E36" s="753"/>
      <c r="F36" s="753"/>
      <c r="G36" s="753"/>
      <c r="H36" s="758"/>
      <c r="I36" s="752"/>
    </row>
    <row r="37" spans="2:9" ht="15.75">
      <c r="B37" s="755"/>
      <c r="C37" s="176">
        <v>3</v>
      </c>
      <c r="D37" s="753" t="s">
        <v>939</v>
      </c>
      <c r="E37" s="753"/>
      <c r="F37" s="753"/>
      <c r="G37" s="753"/>
      <c r="H37" s="758"/>
      <c r="I37" s="752"/>
    </row>
    <row r="38" spans="2:9" ht="15.75">
      <c r="B38" s="755"/>
      <c r="C38" s="176">
        <v>4</v>
      </c>
      <c r="D38" s="753" t="s">
        <v>940</v>
      </c>
      <c r="E38" s="753"/>
      <c r="F38" s="753"/>
      <c r="G38" s="753"/>
      <c r="H38" s="758"/>
      <c r="I38" s="752"/>
    </row>
    <row r="39" spans="2:9" ht="15.6" customHeight="1">
      <c r="B39" s="755"/>
      <c r="C39" s="176">
        <v>5</v>
      </c>
      <c r="D39" s="759" t="s">
        <v>941</v>
      </c>
      <c r="E39" s="759"/>
      <c r="F39" s="759"/>
      <c r="G39" s="759"/>
      <c r="H39" s="758"/>
      <c r="I39" s="752"/>
    </row>
    <row r="40" spans="2:9" ht="15.75">
      <c r="B40" s="168"/>
      <c r="C40" s="168"/>
      <c r="D40" s="169"/>
      <c r="E40" s="169"/>
      <c r="F40" s="169"/>
      <c r="G40" s="169"/>
      <c r="H40" s="168"/>
      <c r="I40" s="168"/>
    </row>
    <row r="41" spans="2:9" ht="15.75" customHeight="1">
      <c r="B41" s="755">
        <v>0.25</v>
      </c>
      <c r="C41" s="756" t="s">
        <v>942</v>
      </c>
      <c r="D41" s="756"/>
      <c r="E41" s="756"/>
      <c r="F41" s="756"/>
      <c r="G41" s="756"/>
      <c r="H41" s="756"/>
      <c r="I41" s="175"/>
    </row>
    <row r="42" spans="2:9" ht="24.95" customHeight="1">
      <c r="B42" s="755"/>
      <c r="C42" s="757" t="s">
        <v>943</v>
      </c>
      <c r="D42" s="757"/>
      <c r="E42" s="757"/>
      <c r="F42" s="757"/>
      <c r="G42" s="757"/>
      <c r="H42" s="757"/>
      <c r="I42" s="175"/>
    </row>
    <row r="43" spans="2:9" ht="15.75" customHeight="1">
      <c r="B43" s="755"/>
      <c r="C43" s="176">
        <v>1</v>
      </c>
      <c r="D43" s="753" t="s">
        <v>944</v>
      </c>
      <c r="E43" s="753"/>
      <c r="F43" s="753"/>
      <c r="G43" s="753"/>
      <c r="H43" s="758">
        <v>2</v>
      </c>
      <c r="I43" s="752">
        <f>IFERROR(VLOOKUP(H43,FACTORES!$M$4:$N$8,2,0)*B41*$H$2,"Introducir o revisar Valor en Columna H (Valor maximo permitido = 5)")</f>
        <v>3.125E-2</v>
      </c>
    </row>
    <row r="44" spans="2:9" ht="15.75">
      <c r="B44" s="755"/>
      <c r="C44" s="176">
        <v>2</v>
      </c>
      <c r="D44" s="753" t="s">
        <v>945</v>
      </c>
      <c r="E44" s="753"/>
      <c r="F44" s="753"/>
      <c r="G44" s="753"/>
      <c r="H44" s="758"/>
      <c r="I44" s="752"/>
    </row>
    <row r="45" spans="2:9" ht="15.75">
      <c r="B45" s="755"/>
      <c r="C45" s="176">
        <v>3</v>
      </c>
      <c r="D45" s="753" t="s">
        <v>946</v>
      </c>
      <c r="E45" s="753"/>
      <c r="F45" s="753"/>
      <c r="G45" s="753"/>
      <c r="H45" s="758"/>
      <c r="I45" s="752"/>
    </row>
    <row r="46" spans="2:9" ht="15.75">
      <c r="B46" s="755"/>
      <c r="C46" s="176">
        <v>4</v>
      </c>
      <c r="D46" s="753" t="s">
        <v>947</v>
      </c>
      <c r="E46" s="753"/>
      <c r="F46" s="753"/>
      <c r="G46" s="753"/>
      <c r="H46" s="758"/>
      <c r="I46" s="752"/>
    </row>
    <row r="47" spans="2:9" ht="15.6" customHeight="1">
      <c r="B47" s="755"/>
      <c r="C47" s="177">
        <v>5</v>
      </c>
      <c r="D47" s="754" t="s">
        <v>948</v>
      </c>
      <c r="E47" s="754"/>
      <c r="F47" s="754"/>
      <c r="G47" s="754"/>
      <c r="H47" s="758"/>
      <c r="I47" s="752"/>
    </row>
    <row r="50" spans="3:9" ht="15.75">
      <c r="C50" s="751" t="s">
        <v>949</v>
      </c>
      <c r="D50" s="751"/>
      <c r="E50" s="751"/>
      <c r="F50" s="751"/>
      <c r="G50" s="751"/>
      <c r="H50" s="751"/>
      <c r="I50" s="178">
        <f>1+I11+I19+I27+I35+I43</f>
        <v>1.0837499999999998</v>
      </c>
    </row>
  </sheetData>
  <sheetProtection algorithmName="SHA-512" hashValue="cuoY0FHcxtEEbgP9Dayt/IKJbmsWlxOc3o3GeW9hcBSD5aP8SAkfJs0ztWmHv5PxcuV3Ey+UMcMoJe8pKMHhQA==" saltValue="UBSaXb+tyyGBnK+eoAv1Jw==" spinCount="100000" sheet="1"/>
  <mergeCells count="54">
    <mergeCell ref="C2:G2"/>
    <mergeCell ref="B4:H5"/>
    <mergeCell ref="B7:H7"/>
    <mergeCell ref="B9:B15"/>
    <mergeCell ref="C9:H9"/>
    <mergeCell ref="C10:H10"/>
    <mergeCell ref="D11:G11"/>
    <mergeCell ref="H11:H15"/>
    <mergeCell ref="I11:I15"/>
    <mergeCell ref="D12:G12"/>
    <mergeCell ref="D13:G13"/>
    <mergeCell ref="D14:G14"/>
    <mergeCell ref="D15:G15"/>
    <mergeCell ref="B17:B23"/>
    <mergeCell ref="C17:H17"/>
    <mergeCell ref="C18:H18"/>
    <mergeCell ref="D19:G19"/>
    <mergeCell ref="H19:H23"/>
    <mergeCell ref="I19:I23"/>
    <mergeCell ref="D20:G20"/>
    <mergeCell ref="D21:G21"/>
    <mergeCell ref="D22:G22"/>
    <mergeCell ref="D23:G23"/>
    <mergeCell ref="B25:B31"/>
    <mergeCell ref="C25:H25"/>
    <mergeCell ref="C26:H26"/>
    <mergeCell ref="D27:G27"/>
    <mergeCell ref="H27:H31"/>
    <mergeCell ref="I27:I31"/>
    <mergeCell ref="D28:G28"/>
    <mergeCell ref="D29:G29"/>
    <mergeCell ref="D30:G30"/>
    <mergeCell ref="D31:G31"/>
    <mergeCell ref="B33:B39"/>
    <mergeCell ref="C33:H33"/>
    <mergeCell ref="C34:H34"/>
    <mergeCell ref="D35:G35"/>
    <mergeCell ref="H35:H39"/>
    <mergeCell ref="I35:I39"/>
    <mergeCell ref="D36:G36"/>
    <mergeCell ref="D37:G37"/>
    <mergeCell ref="D38:G38"/>
    <mergeCell ref="D39:G39"/>
    <mergeCell ref="B41:B47"/>
    <mergeCell ref="C41:H41"/>
    <mergeCell ref="C42:H42"/>
    <mergeCell ref="D43:G43"/>
    <mergeCell ref="H43:H47"/>
    <mergeCell ref="C50:H50"/>
    <mergeCell ref="I43:I47"/>
    <mergeCell ref="D44:G44"/>
    <mergeCell ref="D45:G45"/>
    <mergeCell ref="D46:G46"/>
    <mergeCell ref="D47:G47"/>
  </mergeCells>
  <dataValidations count="1">
    <dataValidation type="whole" allowBlank="1" showInputMessage="1" showErrorMessage="1" sqref="H11:I15 H19:H23 H27:H31 H35:H39 H43:H47" xr:uid="{00000000-0002-0000-0900-000000000000}">
      <formula1>1</formula1>
      <formula2>5</formula2>
    </dataValidation>
  </dataValidations>
  <pageMargins left="0.78749999999999998" right="0.78749999999999998" top="1.05277777777778" bottom="1.05277777777778" header="0.78749999999999998" footer="0.78749999999999998"/>
  <pageSetup firstPageNumber="0" orientation="portrait" horizontalDpi="300" verticalDpi="30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151584D72037D418DBB71F692B269A1" ma:contentTypeVersion="17" ma:contentTypeDescription="Crear nuevo documento." ma:contentTypeScope="" ma:versionID="d6735dd164c0fa2b8face35e11b1fb32">
  <xsd:schema xmlns:xsd="http://www.w3.org/2001/XMLSchema" xmlns:xs="http://www.w3.org/2001/XMLSchema" xmlns:p="http://schemas.microsoft.com/office/2006/metadata/properties" xmlns:ns2="1f8cd00a-7ed1-45f4-a1d2-11fa5d528c74" xmlns:ns3="b34339ab-555d-41ee-a400-3aa7e74f922f" targetNamespace="http://schemas.microsoft.com/office/2006/metadata/properties" ma:root="true" ma:fieldsID="040beafa686a2e66c59db575c795e951" ns2:_="" ns3:_="">
    <xsd:import namespace="1f8cd00a-7ed1-45f4-a1d2-11fa5d528c74"/>
    <xsd:import namespace="b34339ab-555d-41ee-a400-3aa7e74f922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AutoKeyPoints" minOccurs="0"/>
                <xsd:element ref="ns2:MediaServiceKeyPoint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8cd00a-7ed1-45f4-a1d2-11fa5d528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42cdfcee-ca2d-46b2-8159-5b17d2d80cf8"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4339ab-555d-41ee-a400-3aa7e74f922f" elementFormDefault="qualified">
    <xsd:import namespace="http://schemas.microsoft.com/office/2006/documentManagement/types"/>
    <xsd:import namespace="http://schemas.microsoft.com/office/infopath/2007/PartnerControls"/>
    <xsd:element name="SharedWithUsers" ma:index="14"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f156b55-9fdd-4f48-9d45-01a05c4d6907}" ma:internalName="TaxCatchAll" ma:showField="CatchAllData" ma:web="b34339ab-555d-41ee-a400-3aa7e74f92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f8cd00a-7ed1-45f4-a1d2-11fa5d528c74">
      <Terms xmlns="http://schemas.microsoft.com/office/infopath/2007/PartnerControls"/>
    </lcf76f155ced4ddcb4097134ff3c332f>
    <SharedWithUsers xmlns="b34339ab-555d-41ee-a400-3aa7e74f922f">
      <UserInfo>
        <DisplayName/>
        <AccountId xsi:nil="true"/>
        <AccountType/>
      </UserInfo>
    </SharedWithUsers>
    <TaxCatchAll xmlns="b34339ab-555d-41ee-a400-3aa7e74f922f" xsi:nil="true"/>
  </documentManagement>
</p:properties>
</file>

<file path=customXml/itemProps1.xml><?xml version="1.0" encoding="utf-8"?>
<ds:datastoreItem xmlns:ds="http://schemas.openxmlformats.org/officeDocument/2006/customXml" ds:itemID="{6A759CC8-3BAC-4774-98FE-CB11B5D721BF}">
  <ds:schemaRefs>
    <ds:schemaRef ds:uri="http://schemas.microsoft.com/sharepoint/v3/contenttype/forms"/>
  </ds:schemaRefs>
</ds:datastoreItem>
</file>

<file path=customXml/itemProps2.xml><?xml version="1.0" encoding="utf-8"?>
<ds:datastoreItem xmlns:ds="http://schemas.openxmlformats.org/officeDocument/2006/customXml" ds:itemID="{84896CB0-8E97-42A9-9137-97AA6C747E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8cd00a-7ed1-45f4-a1d2-11fa5d528c74"/>
    <ds:schemaRef ds:uri="b34339ab-555d-41ee-a400-3aa7e74f92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9E0646-1AF8-4918-BA6B-5EAA1252F03D}">
  <ds:schemaRefs>
    <ds:schemaRef ds:uri="http://purl.org/dc/terms/"/>
    <ds:schemaRef ds:uri="http://schemas.microsoft.com/office/2006/documentManagement/types"/>
    <ds:schemaRef ds:uri="b34339ab-555d-41ee-a400-3aa7e74f922f"/>
    <ds:schemaRef ds:uri="http://purl.org/dc/elements/1.1/"/>
    <ds:schemaRef ds:uri="http://schemas.microsoft.com/office/2006/metadata/properties"/>
    <ds:schemaRef ds:uri="1f8cd00a-7ed1-45f4-a1d2-11fa5d528c74"/>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41</vt:i4>
      </vt:variant>
      <vt:variant>
        <vt:lpstr>Rangos con nombre</vt:lpstr>
      </vt:variant>
      <vt:variant>
        <vt:i4>48</vt:i4>
      </vt:variant>
    </vt:vector>
  </HeadingPairs>
  <TitlesOfParts>
    <vt:vector size="89" baseType="lpstr">
      <vt:lpstr>PRESENTACIÓN</vt:lpstr>
      <vt:lpstr>Inicio</vt:lpstr>
      <vt:lpstr>Indices</vt:lpstr>
      <vt:lpstr>Costo estación</vt:lpstr>
      <vt:lpstr>FACTORES</vt:lpstr>
      <vt:lpstr>Modelo Caudal - PIPING</vt:lpstr>
      <vt:lpstr>Modelo Potencia de bombeo</vt:lpstr>
      <vt:lpstr>BD  Materiales y equipos</vt:lpstr>
      <vt:lpstr>COSTA CARIBE</vt:lpstr>
      <vt:lpstr>MAGDALENA MEDIO</vt:lpstr>
      <vt:lpstr>CENTRO OCCIDENTE</vt:lpstr>
      <vt:lpstr>SUR</vt:lpstr>
      <vt:lpstr>LLANOS - NARIÑO</vt:lpstr>
      <vt:lpstr>1.2.1 MULTIPLE DE TANQUES</vt:lpstr>
      <vt:lpstr>1.3.1 PATIN DE ALIVIO</vt:lpstr>
      <vt:lpstr>1.3.3 Sistema de Tea</vt:lpstr>
      <vt:lpstr>1.4.1 Control de presión</vt:lpstr>
      <vt:lpstr>1.5.1 FILTRACIÓN</vt:lpstr>
      <vt:lpstr>1.6.1 PATIN MEDICIÓN</vt:lpstr>
      <vt:lpstr>1.6.2 MEDICION DE REFERENCIA</vt:lpstr>
      <vt:lpstr>1.7 SISTEMA DE MARCACIÓN</vt:lpstr>
      <vt:lpstr>1.8.1 UNIDAD BOOSTER</vt:lpstr>
      <vt:lpstr>1.9.1 UNIDAD PRINCIPAL</vt:lpstr>
      <vt:lpstr>1.10.1 LINEA DE DESPACHO</vt:lpstr>
      <vt:lpstr>2.1.1 SISTEMA SUMIDERO</vt:lpstr>
      <vt:lpstr>2.2.1 SIST. AGUA-ACEITE</vt:lpstr>
      <vt:lpstr>2.3.2 UNIDADES CONTRA INCENDIOS</vt:lpstr>
      <vt:lpstr>2.3.(3-6) DETECCION Y ALARMA</vt:lpstr>
      <vt:lpstr>2.3.(7-8) Extinción gas y espum</vt:lpstr>
      <vt:lpstr>2.4 SIST.COMUNICACIONES</vt:lpstr>
      <vt:lpstr>2.5 SISTEMA ELECTRICO</vt:lpstr>
      <vt:lpstr>2.6 SISTEMA DE CONTROL</vt:lpstr>
      <vt:lpstr>2.7 SIST. SEG. &amp; VIGILANCIA</vt:lpstr>
      <vt:lpstr>2.8 SIST. MANEJO AGUAS</vt:lpstr>
      <vt:lpstr>2.9 SERVICIOS INDUSTRIALES</vt:lpstr>
      <vt:lpstr>3.1 EDIFICACIONES</vt:lpstr>
      <vt:lpstr>3.2 VIAS</vt:lpstr>
      <vt:lpstr>3.3.1 PAISAJ. Y URBANISMO</vt:lpstr>
      <vt:lpstr>3.4 OBRAS PROTEC. GEOTEC.</vt:lpstr>
      <vt:lpstr>3.5 Desmantelaminento Unidades</vt:lpstr>
      <vt:lpstr>OBRAS CIVILES</vt:lpstr>
      <vt:lpstr>'BD  Materiales y equipos'!_FilterDatabase_0</vt:lpstr>
      <vt:lpstr>'BD  Materiales y equipos'!_FilterDatabase_0_0</vt:lpstr>
      <vt:lpstr>acero</vt:lpstr>
      <vt:lpstr>acero_base</vt:lpstr>
      <vt:lpstr>fac_arancel</vt:lpstr>
      <vt:lpstr>fac_des_arancel_materiales</vt:lpstr>
      <vt:lpstr>fac_des_arancel_rotativos</vt:lpstr>
      <vt:lpstr>fac_iva</vt:lpstr>
      <vt:lpstr>fac_logistica_importacion_especial</vt:lpstr>
      <vt:lpstr>fac_logistica_importacion_general</vt:lpstr>
      <vt:lpstr>fac_mano_obra</vt:lpstr>
      <vt:lpstr>fac_piping</vt:lpstr>
      <vt:lpstr>fac_regionalizacion</vt:lpstr>
      <vt:lpstr>fac_sop_meta</vt:lpstr>
      <vt:lpstr>fac_transporte</vt:lpstr>
      <vt:lpstr>ipc</vt:lpstr>
      <vt:lpstr>ipc_base</vt:lpstr>
      <vt:lpstr>Potencia</vt:lpstr>
      <vt:lpstr>ppi_dane_obra_civil_esta</vt:lpstr>
      <vt:lpstr>ppi_dane_obra_civil_esta_base</vt:lpstr>
      <vt:lpstr>ppi_usa_bom_ind</vt:lpstr>
      <vt:lpstr>ppi_usa_bom_ind_base</vt:lpstr>
      <vt:lpstr>ppi_usa_filt</vt:lpstr>
      <vt:lpstr>ppi_usa_filt_base</vt:lpstr>
      <vt:lpstr>ppi_usa_gen_pot</vt:lpstr>
      <vt:lpstr>ppi_usa_gen_pot_base</vt:lpstr>
      <vt:lpstr>ppi_usa_inst_control</vt:lpstr>
      <vt:lpstr>ppi_usa_inst_control_base</vt:lpstr>
      <vt:lpstr>ppi_usa_inst_tablero</vt:lpstr>
      <vt:lpstr>ppi_usa_inst_tableros_base</vt:lpstr>
      <vt:lpstr>ppi_usa_medidores</vt:lpstr>
      <vt:lpstr>ppi_usa_medidores_base</vt:lpstr>
      <vt:lpstr>ppi_usa_trans_pot</vt:lpstr>
      <vt:lpstr>ppi_usa_trans_pot_base</vt:lpstr>
      <vt:lpstr>Region</vt:lpstr>
      <vt:lpstr>tip_estacion</vt:lpstr>
      <vt:lpstr>TipoEstacion</vt:lpstr>
      <vt:lpstr>total_bombas_booster</vt:lpstr>
      <vt:lpstr>total_bombas_principales</vt:lpstr>
      <vt:lpstr>TotalComisionamiento</vt:lpstr>
      <vt:lpstr>TotalConstruccionMontaje</vt:lpstr>
      <vt:lpstr>TotalMaterialesEquipos</vt:lpstr>
      <vt:lpstr>trm</vt:lpstr>
      <vt:lpstr>trm_año</vt:lpstr>
      <vt:lpstr>trm_base</vt:lpstr>
      <vt:lpstr>trm_mes</vt:lpstr>
      <vt:lpstr>trm_ref</vt:lpstr>
      <vt:lpstr>usd_kg_sop_meta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Luis Carlos Romero Romero</cp:lastModifiedBy>
  <cp:revision>431</cp:revision>
  <dcterms:created xsi:type="dcterms:W3CDTF">2022-03-03T16:21:12Z</dcterms:created>
  <dcterms:modified xsi:type="dcterms:W3CDTF">2026-07-01T16:40:47Z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0x0101009151584D72037D418DBB71F692B269A1</vt:lpwstr>
  </property>
  <property fmtid="{D5CDD505-2E9C-101B-9397-08002B2CF9AE}" pid="9" name="MediaServiceImageTags">
    <vt:lpwstr/>
  </property>
  <property fmtid="{D5CDD505-2E9C-101B-9397-08002B2CF9AE}" pid="10" name="Order">
    <vt:r8>3192300</vt:r8>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xd_Signature">
    <vt:bool>false</vt:bool>
  </property>
  <property fmtid="{D5CDD505-2E9C-101B-9397-08002B2CF9AE}" pid="15" name="xd_ProgID">
    <vt:lpwstr/>
  </property>
  <property fmtid="{D5CDD505-2E9C-101B-9397-08002B2CF9AE}" pid="16" name="TemplateUrl">
    <vt:lpwstr/>
  </property>
</Properties>
</file>